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rojas\Información 2016\POA 2016\2_Abril - Junio 2016\Cuenta Pública (2° Trim)\Integración\Carpeta A\III.- Informacion Programatica\"/>
    </mc:Choice>
  </mc:AlternateContent>
  <bookViews>
    <workbookView xWindow="-15" yWindow="4965" windowWidth="15600" windowHeight="4770" tabRatio="881" firstSheet="5" activeTab="5"/>
  </bookViews>
  <sheets>
    <sheet name="1 Subsidio+Propios Ene-Mar" sheetId="1" state="hidden" r:id="rId1"/>
    <sheet name="1 Subsidio Ene-Mar" sheetId="2" state="hidden" r:id="rId2"/>
    <sheet name="Tula Subsidio" sheetId="3" state="hidden" r:id="rId3"/>
    <sheet name="UACh Subsidio" sheetId="4" state="hidden" r:id="rId4"/>
    <sheet name="1 Propios Ene-Mar" sheetId="5" state="hidden" r:id="rId5"/>
    <sheet name="Consolidado Sub+IP" sheetId="11" r:id="rId6"/>
    <sheet name="Subsidio Ene-Mar" sheetId="12" state="hidden" r:id="rId7"/>
    <sheet name="Ingresos Propios Ene-Mar" sheetId="13" state="hidden" r:id="rId8"/>
    <sheet name="2 Subsidio+Propios Abr-Jun" sheetId="8" state="hidden" r:id="rId9"/>
    <sheet name="2 Subsidio Abr-Jun" sheetId="9" state="hidden" r:id="rId10"/>
    <sheet name="2 Propios Abr-Jun" sheetId="10" state="hidden" r:id="rId11"/>
    <sheet name="Tula IngrPropios" sheetId="6" state="hidden" r:id="rId12"/>
    <sheet name="UACh IngrPropios" sheetId="7" state="hidden" r:id="rId13"/>
  </sheets>
  <definedNames>
    <definedName name="_xlnm.Print_Area" localSheetId="1">'1 Subsidio Ene-Mar'!$A$1:$Q$38</definedName>
    <definedName name="_xlnm.Print_Area" localSheetId="9">'2 Subsidio Abr-Jun'!$A$1:$R$38</definedName>
    <definedName name="_xlnm.Print_Area" localSheetId="6">'Subsidio Ene-Mar'!$B$1:$U$45</definedName>
    <definedName name="_xlnm.Print_Area" localSheetId="2">'Tula Subsidio'!$A$1:$R$30</definedName>
    <definedName name="_xlnm.Print_Area" localSheetId="3">'UACh Subsidio'!$A$1:$R$19</definedName>
  </definedNames>
  <calcPr calcId="152511"/>
  <fileRecoveryPr autoRecover="0"/>
</workbook>
</file>

<file path=xl/calcChain.xml><?xml version="1.0" encoding="utf-8"?>
<calcChain xmlns="http://schemas.openxmlformats.org/spreadsheetml/2006/main">
  <c r="U28" i="11" l="1"/>
  <c r="U27" i="11"/>
  <c r="U26" i="11"/>
  <c r="U17" i="11"/>
  <c r="U14" i="11"/>
  <c r="U22" i="11"/>
  <c r="U19" i="11"/>
  <c r="U25" i="11" l="1"/>
  <c r="U12" i="11"/>
  <c r="U10" i="11"/>
  <c r="U30" i="11" l="1"/>
  <c r="Q27" i="11"/>
  <c r="Q14" i="11"/>
  <c r="E24" i="11"/>
  <c r="E22" i="11"/>
  <c r="E21" i="11"/>
  <c r="E16" i="11"/>
  <c r="E15" i="11"/>
  <c r="L14" i="11"/>
  <c r="I10" i="11"/>
  <c r="R14" i="11" l="1"/>
  <c r="L27" i="11"/>
  <c r="S27" i="11" s="1"/>
  <c r="E30" i="11" l="1"/>
  <c r="F3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8" i="11"/>
  <c r="G29" i="11"/>
  <c r="G10" i="11"/>
  <c r="Q29" i="11"/>
  <c r="Q15" i="11"/>
  <c r="Q12" i="11"/>
  <c r="Q11" i="11"/>
  <c r="Q10" i="11"/>
  <c r="L10" i="11"/>
  <c r="Q13" i="11"/>
  <c r="Q16" i="11"/>
  <c r="Q17" i="11"/>
  <c r="Q18" i="11"/>
  <c r="Q19" i="11"/>
  <c r="Q20" i="11"/>
  <c r="Q21" i="11"/>
  <c r="Q22" i="11"/>
  <c r="Q23" i="11"/>
  <c r="Q24" i="11"/>
  <c r="Q25" i="11"/>
  <c r="Q26" i="11"/>
  <c r="Q28" i="11"/>
  <c r="L11" i="11"/>
  <c r="L12" i="11"/>
  <c r="L13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8" i="11"/>
  <c r="L29" i="11"/>
  <c r="L30" i="11" l="1"/>
  <c r="R10" i="11"/>
  <c r="G30" i="11"/>
  <c r="J30" i="11" l="1"/>
  <c r="I30" i="11"/>
  <c r="K30" i="11"/>
  <c r="H30" i="11"/>
  <c r="D30" i="11" l="1"/>
  <c r="T30" i="11" l="1"/>
  <c r="P30" i="11" l="1"/>
  <c r="O30" i="11" l="1"/>
  <c r="M30" i="11" l="1"/>
  <c r="S29" i="11"/>
  <c r="N30" i="11" l="1"/>
  <c r="S10" i="11"/>
  <c r="R11" i="11" l="1"/>
  <c r="Q30" i="11"/>
  <c r="S14" i="11"/>
  <c r="S15" i="11"/>
  <c r="R16" i="11"/>
  <c r="S17" i="11"/>
  <c r="R18" i="11"/>
  <c r="S18" i="11" l="1"/>
  <c r="R15" i="11"/>
  <c r="R12" i="11"/>
  <c r="R17" i="11"/>
  <c r="R13" i="11"/>
  <c r="S16" i="11"/>
  <c r="S30" i="11"/>
  <c r="R29" i="11"/>
  <c r="S28" i="11"/>
  <c r="R28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R19" i="11"/>
  <c r="E17" i="13" l="1"/>
  <c r="J24" i="12" l="1"/>
  <c r="J25" i="12"/>
  <c r="J27" i="12"/>
  <c r="J28" i="12"/>
  <c r="J20" i="12"/>
  <c r="J21" i="12"/>
  <c r="J22" i="12"/>
  <c r="J23" i="12"/>
  <c r="J10" i="12"/>
  <c r="J11" i="12"/>
  <c r="J12" i="12"/>
  <c r="J13" i="12"/>
  <c r="J14" i="12"/>
  <c r="J15" i="12"/>
  <c r="J16" i="12"/>
  <c r="J17" i="12"/>
  <c r="J18" i="12"/>
  <c r="J9" i="12"/>
  <c r="J10" i="13"/>
  <c r="J11" i="13"/>
  <c r="J13" i="13"/>
  <c r="J14" i="13"/>
  <c r="J15" i="13"/>
  <c r="J16" i="13"/>
  <c r="J17" i="13"/>
  <c r="J18" i="13"/>
  <c r="J19" i="13"/>
  <c r="J9" i="13"/>
  <c r="N29" i="12" l="1"/>
  <c r="B10" i="12" l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S23" i="12"/>
  <c r="P23" i="12"/>
  <c r="I23" i="12"/>
  <c r="L21" i="13" l="1"/>
  <c r="M21" i="13"/>
  <c r="I19" i="12"/>
  <c r="I20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4" i="12"/>
  <c r="P25" i="12"/>
  <c r="P26" i="12"/>
  <c r="P27" i="12"/>
  <c r="P28" i="12"/>
  <c r="P9" i="12"/>
  <c r="Q21" i="13"/>
  <c r="S10" i="13"/>
  <c r="T10" i="13" s="1"/>
  <c r="S11" i="13"/>
  <c r="S12" i="13"/>
  <c r="T12" i="13" s="1"/>
  <c r="S13" i="13"/>
  <c r="T13" i="13" s="1"/>
  <c r="S14" i="13"/>
  <c r="T14" i="13" s="1"/>
  <c r="S15" i="13"/>
  <c r="T15" i="13" s="1"/>
  <c r="S16" i="13"/>
  <c r="T16" i="13" s="1"/>
  <c r="S17" i="13"/>
  <c r="T17" i="13" s="1"/>
  <c r="S18" i="13"/>
  <c r="T18" i="13" s="1"/>
  <c r="S19" i="13"/>
  <c r="T19" i="13" s="1"/>
  <c r="S20" i="13"/>
  <c r="P10" i="13"/>
  <c r="P11" i="13"/>
  <c r="P12" i="13"/>
  <c r="P13" i="13"/>
  <c r="P14" i="13"/>
  <c r="P15" i="13"/>
  <c r="P16" i="13"/>
  <c r="P17" i="13"/>
  <c r="P18" i="13"/>
  <c r="P19" i="13"/>
  <c r="P20" i="13"/>
  <c r="P9" i="13"/>
  <c r="I20" i="13"/>
  <c r="N21" i="13"/>
  <c r="O21" i="13"/>
  <c r="F29" i="12"/>
  <c r="S10" i="12"/>
  <c r="T10" i="12" s="1"/>
  <c r="S11" i="12"/>
  <c r="T11" i="12" s="1"/>
  <c r="S12" i="12"/>
  <c r="T12" i="12" s="1"/>
  <c r="S13" i="12"/>
  <c r="T13" i="12" s="1"/>
  <c r="S14" i="12"/>
  <c r="T14" i="12" s="1"/>
  <c r="S15" i="12"/>
  <c r="T15" i="12" s="1"/>
  <c r="S16" i="12"/>
  <c r="T16" i="12" s="1"/>
  <c r="S17" i="12"/>
  <c r="T17" i="12" s="1"/>
  <c r="S18" i="12"/>
  <c r="T18" i="12" s="1"/>
  <c r="S19" i="12"/>
  <c r="T19" i="12" s="1"/>
  <c r="S20" i="12"/>
  <c r="T20" i="12" s="1"/>
  <c r="S21" i="12"/>
  <c r="T21" i="12" s="1"/>
  <c r="S22" i="12"/>
  <c r="T22" i="12" s="1"/>
  <c r="S24" i="12"/>
  <c r="T24" i="12" s="1"/>
  <c r="S25" i="12"/>
  <c r="T25" i="12" s="1"/>
  <c r="S26" i="12"/>
  <c r="T26" i="12" s="1"/>
  <c r="S27" i="12"/>
  <c r="T27" i="12" s="1"/>
  <c r="S28" i="12"/>
  <c r="T28" i="12" s="1"/>
  <c r="R29" i="12"/>
  <c r="Q29" i="12"/>
  <c r="E29" i="12" l="1"/>
  <c r="K29" i="12"/>
  <c r="I28" i="12"/>
  <c r="I25" i="12"/>
  <c r="I16" i="13"/>
  <c r="I10" i="12"/>
  <c r="B11" i="13"/>
  <c r="B12" i="13" s="1"/>
  <c r="B13" i="13" s="1"/>
  <c r="B14" i="13" s="1"/>
  <c r="B15" i="13" s="1"/>
  <c r="B16" i="13" s="1"/>
  <c r="B17" i="13" s="1"/>
  <c r="B18" i="13" l="1"/>
  <c r="B19" i="13" s="1"/>
  <c r="B20" i="13" s="1"/>
  <c r="M29" i="12" l="1"/>
  <c r="G29" i="12"/>
  <c r="H29" i="12"/>
  <c r="R21" i="13"/>
  <c r="K21" i="13"/>
  <c r="E21" i="13"/>
  <c r="O29" i="12"/>
  <c r="L29" i="12"/>
  <c r="J29" i="12" l="1"/>
  <c r="P29" i="12"/>
  <c r="P21" i="13" l="1"/>
  <c r="S9" i="13"/>
  <c r="I9" i="13"/>
  <c r="I10" i="13"/>
  <c r="I11" i="13"/>
  <c r="I12" i="13"/>
  <c r="I13" i="13"/>
  <c r="I15" i="13"/>
  <c r="I14" i="13"/>
  <c r="I17" i="13"/>
  <c r="I18" i="13"/>
  <c r="I19" i="13"/>
  <c r="S21" i="13" l="1"/>
  <c r="T9" i="13"/>
  <c r="S15" i="10"/>
  <c r="N15" i="5" l="1"/>
  <c r="N23" i="2"/>
  <c r="N22" i="2"/>
  <c r="N21" i="2"/>
  <c r="N28" i="8" l="1"/>
  <c r="N27" i="8"/>
  <c r="N26" i="8"/>
  <c r="N12" i="8"/>
  <c r="N11" i="8"/>
  <c r="N10" i="8"/>
  <c r="N9" i="8"/>
  <c r="N25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H19" i="9"/>
  <c r="I19" i="9"/>
  <c r="H20" i="9"/>
  <c r="I20" i="9"/>
  <c r="H21" i="9"/>
  <c r="I21" i="9"/>
  <c r="H23" i="9"/>
  <c r="I23" i="9"/>
  <c r="H8" i="9"/>
  <c r="I8" i="9"/>
  <c r="H12" i="3"/>
  <c r="G11" i="3"/>
  <c r="I11" i="9"/>
  <c r="H10" i="9"/>
  <c r="H11" i="9"/>
  <c r="O18" i="10"/>
  <c r="P18" i="10" s="1"/>
  <c r="O12" i="10"/>
  <c r="O19" i="8" s="1"/>
  <c r="O13" i="10"/>
  <c r="O21" i="8" s="1"/>
  <c r="O14" i="10"/>
  <c r="P14" i="10" s="1"/>
  <c r="Q14" i="10" s="1"/>
  <c r="O17" i="10"/>
  <c r="P17" i="10" s="1"/>
  <c r="O11" i="10"/>
  <c r="P11" i="10" s="1"/>
  <c r="Q11" i="10" s="1"/>
  <c r="O10" i="10"/>
  <c r="P10" i="10" s="1"/>
  <c r="O9" i="10"/>
  <c r="P9" i="10" s="1"/>
  <c r="Q9" i="10" s="1"/>
  <c r="O8" i="10"/>
  <c r="P16" i="10"/>
  <c r="Q16" i="10" s="1"/>
  <c r="H8" i="10"/>
  <c r="H16" i="10"/>
  <c r="I16" i="10"/>
  <c r="H17" i="10"/>
  <c r="H18" i="10"/>
  <c r="H9" i="10"/>
  <c r="I9" i="10"/>
  <c r="H10" i="10"/>
  <c r="I10" i="10"/>
  <c r="H11" i="10"/>
  <c r="I11" i="10"/>
  <c r="H12" i="10"/>
  <c r="I12" i="10"/>
  <c r="H13" i="10"/>
  <c r="I13" i="10"/>
  <c r="H14" i="10"/>
  <c r="I14" i="10"/>
  <c r="G19" i="10"/>
  <c r="P12" i="10" l="1"/>
  <c r="Q12" i="10" s="1"/>
  <c r="P13" i="10"/>
  <c r="Q13" i="10" s="1"/>
  <c r="O19" i="10"/>
  <c r="O28" i="8"/>
  <c r="P28" i="8" s="1"/>
  <c r="P15" i="10"/>
  <c r="Q15" i="10" s="1"/>
  <c r="L28" i="8" l="1"/>
  <c r="K28" i="8"/>
  <c r="J28" i="8"/>
  <c r="G28" i="8"/>
  <c r="F28" i="8"/>
  <c r="G27" i="8"/>
  <c r="E28" i="8"/>
  <c r="D28" i="8"/>
  <c r="E27" i="8"/>
  <c r="D27" i="8"/>
  <c r="L27" i="8"/>
  <c r="K27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9" i="8"/>
  <c r="M18" i="10"/>
  <c r="M28" i="8" s="1"/>
  <c r="D19" i="10"/>
  <c r="D25" i="9"/>
  <c r="H28" i="8" l="1"/>
  <c r="D29" i="8"/>
  <c r="J19" i="10" l="1"/>
  <c r="J23" i="9"/>
  <c r="J22" i="9"/>
  <c r="J21" i="9"/>
  <c r="J24" i="8" s="1"/>
  <c r="J19" i="9"/>
  <c r="J18" i="9"/>
  <c r="J17" i="9"/>
  <c r="J14" i="9"/>
  <c r="J9" i="9"/>
  <c r="M22" i="9" l="1"/>
  <c r="J25" i="8"/>
  <c r="N19" i="10" l="1"/>
  <c r="S9" i="12" l="1"/>
  <c r="O21" i="9"/>
  <c r="O22" i="9"/>
  <c r="O23" i="9"/>
  <c r="G25" i="8"/>
  <c r="S29" i="12" l="1"/>
  <c r="T9" i="12"/>
  <c r="O25" i="8"/>
  <c r="P22" i="9"/>
  <c r="Q22" i="9" s="1"/>
  <c r="P21" i="9"/>
  <c r="Q21" i="9" s="1"/>
  <c r="O24" i="8"/>
  <c r="O26" i="8"/>
  <c r="P26" i="8" s="1"/>
  <c r="Q26" i="8" s="1"/>
  <c r="P23" i="9"/>
  <c r="Q23" i="9" s="1"/>
  <c r="E11" i="8"/>
  <c r="F9" i="8"/>
  <c r="I22" i="12" l="1"/>
  <c r="I17" i="12"/>
  <c r="I12" i="12"/>
  <c r="I21" i="12"/>
  <c r="I16" i="12"/>
  <c r="I26" i="12"/>
  <c r="I15" i="12"/>
  <c r="I9" i="12"/>
  <c r="I24" i="12"/>
  <c r="I18" i="12"/>
  <c r="I13" i="12"/>
  <c r="I14" i="12"/>
  <c r="F21" i="13"/>
  <c r="T21" i="13" l="1"/>
  <c r="F15" i="10"/>
  <c r="E19" i="10"/>
  <c r="A9" i="10"/>
  <c r="A10" i="10" s="1"/>
  <c r="A11" i="10" s="1"/>
  <c r="A12" i="10" s="1"/>
  <c r="A13" i="10" s="1"/>
  <c r="A14" i="10" s="1"/>
  <c r="A15" i="10" s="1"/>
  <c r="A16" i="10" s="1"/>
  <c r="A17" i="10" s="1"/>
  <c r="A18" i="10" s="1"/>
  <c r="P8" i="10"/>
  <c r="Q8" i="10" s="1"/>
  <c r="J24" i="9"/>
  <c r="J27" i="8" s="1"/>
  <c r="F24" i="9"/>
  <c r="F22" i="9"/>
  <c r="J20" i="9"/>
  <c r="J16" i="9"/>
  <c r="J15" i="9"/>
  <c r="J16" i="8" s="1"/>
  <c r="J13" i="9"/>
  <c r="J14" i="8" s="1"/>
  <c r="J12" i="9"/>
  <c r="J13" i="8" s="1"/>
  <c r="J11" i="9"/>
  <c r="J12" i="8" s="1"/>
  <c r="E25" i="9"/>
  <c r="J10" i="9"/>
  <c r="G25" i="9"/>
  <c r="F9" i="9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J8" i="9"/>
  <c r="J9" i="8" s="1"/>
  <c r="L26" i="8"/>
  <c r="J26" i="8"/>
  <c r="G26" i="8"/>
  <c r="F26" i="8"/>
  <c r="E26" i="8"/>
  <c r="N25" i="8"/>
  <c r="P25" i="8" s="1"/>
  <c r="Q25" i="8" s="1"/>
  <c r="L25" i="8"/>
  <c r="E25" i="8"/>
  <c r="N24" i="8"/>
  <c r="P24" i="8" s="1"/>
  <c r="Q24" i="8" s="1"/>
  <c r="L24" i="8"/>
  <c r="G24" i="8"/>
  <c r="F24" i="8"/>
  <c r="E24" i="8"/>
  <c r="N23" i="8"/>
  <c r="L23" i="8"/>
  <c r="K23" i="8"/>
  <c r="J23" i="8"/>
  <c r="G23" i="8"/>
  <c r="F23" i="8"/>
  <c r="E23" i="8"/>
  <c r="N22" i="8"/>
  <c r="L22" i="8"/>
  <c r="K22" i="8"/>
  <c r="J22" i="8"/>
  <c r="G22" i="8"/>
  <c r="F22" i="8"/>
  <c r="E22" i="8"/>
  <c r="N21" i="8"/>
  <c r="P21" i="8" s="1"/>
  <c r="Q21" i="8" s="1"/>
  <c r="K21" i="8"/>
  <c r="J21" i="8"/>
  <c r="G21" i="8"/>
  <c r="F21" i="8"/>
  <c r="E21" i="8"/>
  <c r="N20" i="8"/>
  <c r="L20" i="8"/>
  <c r="K20" i="8"/>
  <c r="J20" i="8"/>
  <c r="G20" i="8"/>
  <c r="F20" i="8"/>
  <c r="E20" i="8"/>
  <c r="N19" i="8"/>
  <c r="P19" i="8" s="1"/>
  <c r="Q19" i="8" s="1"/>
  <c r="L19" i="8"/>
  <c r="K19" i="8"/>
  <c r="J19" i="8"/>
  <c r="G19" i="8"/>
  <c r="F19" i="8"/>
  <c r="E19" i="8"/>
  <c r="N18" i="8"/>
  <c r="L18" i="8"/>
  <c r="K18" i="8"/>
  <c r="J18" i="8"/>
  <c r="G18" i="8"/>
  <c r="F18" i="8"/>
  <c r="E18" i="8"/>
  <c r="N17" i="8"/>
  <c r="L17" i="8"/>
  <c r="K17" i="8"/>
  <c r="J17" i="8"/>
  <c r="G17" i="8"/>
  <c r="F17" i="8"/>
  <c r="E17" i="8"/>
  <c r="N16" i="8"/>
  <c r="L16" i="8"/>
  <c r="K16" i="8"/>
  <c r="G16" i="8"/>
  <c r="F16" i="8"/>
  <c r="E16" i="8"/>
  <c r="N15" i="8"/>
  <c r="L15" i="8"/>
  <c r="K15" i="8"/>
  <c r="J15" i="8"/>
  <c r="G15" i="8"/>
  <c r="F15" i="8"/>
  <c r="E15" i="8"/>
  <c r="N14" i="8"/>
  <c r="L14" i="8"/>
  <c r="G14" i="8"/>
  <c r="F14" i="8"/>
  <c r="E14" i="8"/>
  <c r="K13" i="8"/>
  <c r="G13" i="8"/>
  <c r="F13" i="8"/>
  <c r="E13" i="8"/>
  <c r="L12" i="8"/>
  <c r="K12" i="8"/>
  <c r="G12" i="8"/>
  <c r="F12" i="8"/>
  <c r="E12" i="8"/>
  <c r="L11" i="8"/>
  <c r="K11" i="8"/>
  <c r="J11" i="8"/>
  <c r="G11" i="8"/>
  <c r="F11" i="8"/>
  <c r="L10" i="8"/>
  <c r="K10" i="8"/>
  <c r="J10" i="8"/>
  <c r="G10" i="8"/>
  <c r="E10" i="8"/>
  <c r="A10" i="8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L9" i="8"/>
  <c r="K9" i="8"/>
  <c r="G9" i="8"/>
  <c r="E9" i="8"/>
  <c r="H20" i="8" l="1"/>
  <c r="H11" i="8"/>
  <c r="J25" i="9"/>
  <c r="I9" i="8"/>
  <c r="H9" i="8"/>
  <c r="J29" i="8"/>
  <c r="H14" i="8"/>
  <c r="I14" i="8"/>
  <c r="H17" i="8"/>
  <c r="I17" i="8"/>
  <c r="I21" i="8"/>
  <c r="H21" i="8"/>
  <c r="H24" i="8"/>
  <c r="I24" i="8"/>
  <c r="H26" i="8"/>
  <c r="I26" i="8"/>
  <c r="H22" i="9"/>
  <c r="I22" i="9"/>
  <c r="I15" i="10"/>
  <c r="I19" i="10" s="1"/>
  <c r="F19" i="10"/>
  <c r="H15" i="10"/>
  <c r="H19" i="10" s="1"/>
  <c r="H12" i="8"/>
  <c r="I12" i="8"/>
  <c r="H16" i="8"/>
  <c r="I16" i="8"/>
  <c r="I23" i="8"/>
  <c r="H23" i="8"/>
  <c r="H9" i="9"/>
  <c r="F25" i="9"/>
  <c r="I25" i="9" s="1"/>
  <c r="H15" i="8"/>
  <c r="I15" i="8"/>
  <c r="H19" i="8"/>
  <c r="I19" i="8"/>
  <c r="H22" i="8"/>
  <c r="I22" i="8"/>
  <c r="H24" i="9"/>
  <c r="I24" i="9"/>
  <c r="F27" i="8"/>
  <c r="H13" i="8"/>
  <c r="I13" i="8"/>
  <c r="H18" i="8"/>
  <c r="I18" i="8"/>
  <c r="T29" i="12"/>
  <c r="A26" i="8"/>
  <c r="A27" i="8" s="1"/>
  <c r="A28" i="8" s="1"/>
  <c r="P19" i="10"/>
  <c r="Q19" i="10" s="1"/>
  <c r="K19" i="10"/>
  <c r="L19" i="10"/>
  <c r="K25" i="9"/>
  <c r="M8" i="9"/>
  <c r="F10" i="8"/>
  <c r="H10" i="8" s="1"/>
  <c r="M21" i="9"/>
  <c r="M23" i="9"/>
  <c r="L25" i="9"/>
  <c r="M14" i="9"/>
  <c r="M15" i="8" s="1"/>
  <c r="M15" i="9"/>
  <c r="M16" i="8" s="1"/>
  <c r="M16" i="9"/>
  <c r="M17" i="8" s="1"/>
  <c r="M19" i="9"/>
  <c r="M22" i="8" s="1"/>
  <c r="M20" i="9"/>
  <c r="M23" i="8" s="1"/>
  <c r="F25" i="8"/>
  <c r="M24" i="9"/>
  <c r="M10" i="9"/>
  <c r="M13" i="9"/>
  <c r="M18" i="9"/>
  <c r="M20" i="8" s="1"/>
  <c r="M9" i="9"/>
  <c r="M10" i="8" s="1"/>
  <c r="M11" i="9"/>
  <c r="M12" i="8" s="1"/>
  <c r="M12" i="9"/>
  <c r="M17" i="9"/>
  <c r="L13" i="8"/>
  <c r="M10" i="10"/>
  <c r="M12" i="10"/>
  <c r="M19" i="8" s="1"/>
  <c r="M13" i="10"/>
  <c r="M9" i="10"/>
  <c r="M11" i="10"/>
  <c r="L21" i="8"/>
  <c r="M14" i="10"/>
  <c r="M15" i="10"/>
  <c r="M25" i="8" s="1"/>
  <c r="K26" i="8"/>
  <c r="M16" i="10"/>
  <c r="M17" i="10"/>
  <c r="K14" i="8"/>
  <c r="K24" i="8"/>
  <c r="K25" i="8"/>
  <c r="E29" i="8"/>
  <c r="G29" i="8"/>
  <c r="M8" i="10"/>
  <c r="H25" i="9" l="1"/>
  <c r="F29" i="8"/>
  <c r="L29" i="8"/>
  <c r="H27" i="8"/>
  <c r="I27" i="8"/>
  <c r="H29" i="8"/>
  <c r="I29" i="8"/>
  <c r="M13" i="8"/>
  <c r="I25" i="8"/>
  <c r="H25" i="8"/>
  <c r="M24" i="8"/>
  <c r="K29" i="8"/>
  <c r="M27" i="8"/>
  <c r="M14" i="8"/>
  <c r="M18" i="8"/>
  <c r="M26" i="8"/>
  <c r="M25" i="9"/>
  <c r="M9" i="8"/>
  <c r="M19" i="10"/>
  <c r="M21" i="8"/>
  <c r="M11" i="8"/>
  <c r="N24" i="2"/>
  <c r="O24" i="9" s="1"/>
  <c r="N20" i="2"/>
  <c r="O20" i="9" s="1"/>
  <c r="N19" i="2"/>
  <c r="O19" i="9" s="1"/>
  <c r="N18" i="2"/>
  <c r="O18" i="9" s="1"/>
  <c r="N17" i="2"/>
  <c r="O17" i="9" s="1"/>
  <c r="N16" i="2"/>
  <c r="O16" i="9" s="1"/>
  <c r="N15" i="2"/>
  <c r="O15" i="9" s="1"/>
  <c r="N14" i="2"/>
  <c r="O14" i="9" s="1"/>
  <c r="N13" i="2"/>
  <c r="O13" i="9" s="1"/>
  <c r="N12" i="2"/>
  <c r="O12" i="9" s="1"/>
  <c r="N11" i="2"/>
  <c r="O11" i="9" s="1"/>
  <c r="N10" i="2"/>
  <c r="O10" i="9" s="1"/>
  <c r="N9" i="2"/>
  <c r="O9" i="9" s="1"/>
  <c r="N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9" i="1" s="1"/>
  <c r="M25" i="2" l="1"/>
  <c r="O12" i="8"/>
  <c r="P12" i="8" s="1"/>
  <c r="Q12" i="8" s="1"/>
  <c r="P11" i="9"/>
  <c r="Q11" i="9" s="1"/>
  <c r="O16" i="8"/>
  <c r="P16" i="8" s="1"/>
  <c r="Q16" i="8" s="1"/>
  <c r="P15" i="9"/>
  <c r="Q15" i="9" s="1"/>
  <c r="O22" i="8"/>
  <c r="P22" i="8" s="1"/>
  <c r="Q22" i="8" s="1"/>
  <c r="P19" i="9"/>
  <c r="Q19" i="9" s="1"/>
  <c r="N25" i="2"/>
  <c r="O8" i="9"/>
  <c r="P12" i="9"/>
  <c r="Q12" i="9" s="1"/>
  <c r="O13" i="8"/>
  <c r="P16" i="9"/>
  <c r="Q16" i="9" s="1"/>
  <c r="O17" i="8"/>
  <c r="P17" i="8" s="1"/>
  <c r="Q17" i="8" s="1"/>
  <c r="P20" i="9"/>
  <c r="Q20" i="9" s="1"/>
  <c r="O23" i="8"/>
  <c r="P23" i="8" s="1"/>
  <c r="Q23" i="8" s="1"/>
  <c r="O10" i="8"/>
  <c r="P10" i="8" s="1"/>
  <c r="Q10" i="8" s="1"/>
  <c r="P9" i="9"/>
  <c r="Q9" i="9" s="1"/>
  <c r="P13" i="9"/>
  <c r="Q13" i="9" s="1"/>
  <c r="O14" i="8"/>
  <c r="P14" i="8" s="1"/>
  <c r="Q14" i="8" s="1"/>
  <c r="P17" i="9"/>
  <c r="Q17" i="9" s="1"/>
  <c r="O18" i="8"/>
  <c r="P18" i="8" s="1"/>
  <c r="Q18" i="8" s="1"/>
  <c r="P24" i="9"/>
  <c r="Q24" i="9" s="1"/>
  <c r="O27" i="8"/>
  <c r="P27" i="8" s="1"/>
  <c r="Q27" i="8" s="1"/>
  <c r="P10" i="9"/>
  <c r="Q10" i="9" s="1"/>
  <c r="O11" i="8"/>
  <c r="P11" i="8" s="1"/>
  <c r="Q11" i="8" s="1"/>
  <c r="O15" i="8"/>
  <c r="P15" i="8" s="1"/>
  <c r="Q15" i="8" s="1"/>
  <c r="P14" i="9"/>
  <c r="Q14" i="9" s="1"/>
  <c r="P18" i="9"/>
  <c r="Q18" i="9" s="1"/>
  <c r="O20" i="8"/>
  <c r="P20" i="8" s="1"/>
  <c r="Q20" i="8" s="1"/>
  <c r="M29" i="8"/>
  <c r="D19" i="1"/>
  <c r="D11" i="1"/>
  <c r="P8" i="9" l="1"/>
  <c r="Q8" i="9" s="1"/>
  <c r="O9" i="8"/>
  <c r="O25" i="9"/>
  <c r="P25" i="9" s="1"/>
  <c r="Q25" i="9" s="1"/>
  <c r="M21" i="1"/>
  <c r="N21" i="1"/>
  <c r="I21" i="1"/>
  <c r="M19" i="1"/>
  <c r="N19" i="1"/>
  <c r="I19" i="1"/>
  <c r="M27" i="1"/>
  <c r="N27" i="1"/>
  <c r="I27" i="1"/>
  <c r="M26" i="1"/>
  <c r="N26" i="1"/>
  <c r="I26" i="1"/>
  <c r="M25" i="1"/>
  <c r="N25" i="1"/>
  <c r="I25" i="1"/>
  <c r="M24" i="1"/>
  <c r="N24" i="1"/>
  <c r="I24" i="1"/>
  <c r="M23" i="1"/>
  <c r="N23" i="1"/>
  <c r="I23" i="1"/>
  <c r="M22" i="1"/>
  <c r="N22" i="1"/>
  <c r="I22" i="1"/>
  <c r="M20" i="1"/>
  <c r="N20" i="1"/>
  <c r="I20" i="1"/>
  <c r="M18" i="1"/>
  <c r="N18" i="1"/>
  <c r="I18" i="1"/>
  <c r="M17" i="1"/>
  <c r="N17" i="1"/>
  <c r="I17" i="1"/>
  <c r="M16" i="1"/>
  <c r="N16" i="1"/>
  <c r="I16" i="1"/>
  <c r="M15" i="1"/>
  <c r="N15" i="1"/>
  <c r="I15" i="1"/>
  <c r="N14" i="1"/>
  <c r="M14" i="1"/>
  <c r="I14" i="1"/>
  <c r="M13" i="1"/>
  <c r="N13" i="1"/>
  <c r="I13" i="1"/>
  <c r="M12" i="1"/>
  <c r="N12" i="1"/>
  <c r="I12" i="1"/>
  <c r="M11" i="1"/>
  <c r="N11" i="1"/>
  <c r="I11" i="1"/>
  <c r="M10" i="1"/>
  <c r="N10" i="1"/>
  <c r="I10" i="1"/>
  <c r="N9" i="1"/>
  <c r="M9" i="1"/>
  <c r="I18" i="5"/>
  <c r="M18" i="5"/>
  <c r="N18" i="5"/>
  <c r="O9" i="5"/>
  <c r="P9" i="5" s="1"/>
  <c r="O10" i="5"/>
  <c r="O11" i="5"/>
  <c r="O12" i="5"/>
  <c r="O13" i="5"/>
  <c r="O21" i="1" s="1"/>
  <c r="O14" i="5"/>
  <c r="P14" i="5" s="1"/>
  <c r="O15" i="5"/>
  <c r="P15" i="5" s="1"/>
  <c r="O16" i="5"/>
  <c r="O17" i="5"/>
  <c r="O8" i="5"/>
  <c r="O8" i="2"/>
  <c r="I25" i="2"/>
  <c r="O9" i="2"/>
  <c r="P9" i="2" s="1"/>
  <c r="P10" i="1" s="1"/>
  <c r="O10" i="2"/>
  <c r="P10" i="2" s="1"/>
  <c r="O11" i="2"/>
  <c r="O12" i="1" s="1"/>
  <c r="O12" i="2"/>
  <c r="P12" i="2" s="1"/>
  <c r="O13" i="2"/>
  <c r="O14" i="2"/>
  <c r="P14" i="2" s="1"/>
  <c r="P15" i="1" s="1"/>
  <c r="O15" i="2"/>
  <c r="O16" i="1" s="1"/>
  <c r="O16" i="2"/>
  <c r="P16" i="2" s="1"/>
  <c r="P17" i="1" s="1"/>
  <c r="O17" i="2"/>
  <c r="P17" i="2" s="1"/>
  <c r="O18" i="2"/>
  <c r="P18" i="2" s="1"/>
  <c r="P20" i="1" s="1"/>
  <c r="O19" i="2"/>
  <c r="O22" i="1" s="1"/>
  <c r="O20" i="2"/>
  <c r="P20" i="2" s="1"/>
  <c r="P23" i="1" s="1"/>
  <c r="O21" i="2"/>
  <c r="O22" i="2"/>
  <c r="P22" i="2" s="1"/>
  <c r="O23" i="2"/>
  <c r="O24" i="2"/>
  <c r="P24" i="2" s="1"/>
  <c r="P27" i="1" s="1"/>
  <c r="H25" i="1"/>
  <c r="G25" i="1"/>
  <c r="F15" i="5"/>
  <c r="J15" i="5"/>
  <c r="K15" i="5"/>
  <c r="E15" i="5"/>
  <c r="F19" i="1"/>
  <c r="J12" i="5"/>
  <c r="K12" i="5"/>
  <c r="E19" i="1"/>
  <c r="D15" i="5"/>
  <c r="J14" i="5"/>
  <c r="K14" i="5"/>
  <c r="E21" i="1"/>
  <c r="F21" i="1"/>
  <c r="J13" i="5"/>
  <c r="K13" i="5"/>
  <c r="J11" i="5"/>
  <c r="K11" i="5"/>
  <c r="H10" i="5"/>
  <c r="J10" i="5"/>
  <c r="K10" i="5"/>
  <c r="J9" i="5"/>
  <c r="K9" i="5"/>
  <c r="J8" i="5"/>
  <c r="K8" i="5"/>
  <c r="D17" i="5"/>
  <c r="F22" i="2"/>
  <c r="J22" i="2"/>
  <c r="K22" i="2"/>
  <c r="E22" i="2"/>
  <c r="E24" i="2"/>
  <c r="F24" i="2"/>
  <c r="J24" i="2"/>
  <c r="K24" i="2"/>
  <c r="E23" i="2"/>
  <c r="F23" i="2"/>
  <c r="H23" i="2"/>
  <c r="J23" i="2"/>
  <c r="K23" i="2"/>
  <c r="E24" i="1"/>
  <c r="F24" i="1"/>
  <c r="J21" i="2"/>
  <c r="K21" i="2"/>
  <c r="E23" i="1"/>
  <c r="F23" i="1"/>
  <c r="J20" i="2"/>
  <c r="K20" i="2"/>
  <c r="E22" i="1"/>
  <c r="F22" i="1"/>
  <c r="J19" i="2"/>
  <c r="K19" i="2"/>
  <c r="E20" i="1"/>
  <c r="F20" i="1"/>
  <c r="H18" i="2"/>
  <c r="J18" i="2"/>
  <c r="K18" i="2"/>
  <c r="E18" i="1"/>
  <c r="F18" i="1"/>
  <c r="J17" i="2"/>
  <c r="K17" i="2"/>
  <c r="E17" i="1"/>
  <c r="F17" i="1"/>
  <c r="J16" i="2"/>
  <c r="K16" i="2"/>
  <c r="E16" i="1"/>
  <c r="F16" i="1"/>
  <c r="J15" i="2"/>
  <c r="K15" i="2"/>
  <c r="E15" i="1"/>
  <c r="F15" i="1"/>
  <c r="J14" i="2"/>
  <c r="K14" i="2"/>
  <c r="E14" i="1"/>
  <c r="F14" i="1"/>
  <c r="J13" i="2"/>
  <c r="K13" i="2"/>
  <c r="E13" i="1"/>
  <c r="F13" i="1"/>
  <c r="J12" i="2"/>
  <c r="K12" i="2"/>
  <c r="E12" i="1"/>
  <c r="F12" i="1"/>
  <c r="H11" i="2"/>
  <c r="J11" i="2"/>
  <c r="K11" i="2"/>
  <c r="E11" i="1"/>
  <c r="F11" i="1"/>
  <c r="H10" i="2"/>
  <c r="J10" i="2"/>
  <c r="K10" i="2"/>
  <c r="E9" i="2"/>
  <c r="F9" i="2"/>
  <c r="H9" i="2"/>
  <c r="J9" i="2"/>
  <c r="K9" i="2"/>
  <c r="E9" i="1"/>
  <c r="F9" i="1"/>
  <c r="J8" i="2"/>
  <c r="K8" i="2"/>
  <c r="D26" i="1"/>
  <c r="D22" i="2"/>
  <c r="D25" i="1" s="1"/>
  <c r="D18" i="2"/>
  <c r="D20" i="1" s="1"/>
  <c r="D11" i="2"/>
  <c r="D12" i="1" s="1"/>
  <c r="D10" i="1"/>
  <c r="D27" i="1"/>
  <c r="D23" i="1"/>
  <c r="D22" i="1"/>
  <c r="D18" i="1"/>
  <c r="D17" i="1"/>
  <c r="D16" i="1"/>
  <c r="D15" i="1"/>
  <c r="D14" i="1"/>
  <c r="D13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D24" i="1"/>
  <c r="J16" i="5"/>
  <c r="K16" i="5"/>
  <c r="J17" i="5"/>
  <c r="K17" i="5"/>
  <c r="N28" i="1" l="1"/>
  <c r="E10" i="1"/>
  <c r="K12" i="1"/>
  <c r="F10" i="1"/>
  <c r="J12" i="1"/>
  <c r="K13" i="1"/>
  <c r="K15" i="1"/>
  <c r="K16" i="1"/>
  <c r="K17" i="1"/>
  <c r="K18" i="1"/>
  <c r="K20" i="1"/>
  <c r="F26" i="1"/>
  <c r="F27" i="1"/>
  <c r="K21" i="1"/>
  <c r="K19" i="1"/>
  <c r="O24" i="1"/>
  <c r="O14" i="1"/>
  <c r="J16" i="1"/>
  <c r="J18" i="1"/>
  <c r="K22" i="1"/>
  <c r="K23" i="1"/>
  <c r="K24" i="1"/>
  <c r="E26" i="1"/>
  <c r="E27" i="1"/>
  <c r="I27" i="12"/>
  <c r="J10" i="1"/>
  <c r="K11" i="1"/>
  <c r="J22" i="1"/>
  <c r="P9" i="8"/>
  <c r="Q9" i="8" s="1"/>
  <c r="O29" i="8"/>
  <c r="K25" i="1"/>
  <c r="H21" i="13"/>
  <c r="D18" i="5"/>
  <c r="G21" i="13"/>
  <c r="E18" i="5"/>
  <c r="P12" i="5"/>
  <c r="P19" i="1" s="1"/>
  <c r="A23" i="1"/>
  <c r="A24" i="1" s="1"/>
  <c r="A25" i="1" s="1"/>
  <c r="A26" i="1" s="1"/>
  <c r="A27" i="1" s="1"/>
  <c r="M28" i="1"/>
  <c r="O9" i="1"/>
  <c r="P8" i="2"/>
  <c r="P9" i="1" s="1"/>
  <c r="L15" i="1"/>
  <c r="J25" i="2"/>
  <c r="J14" i="1"/>
  <c r="J24" i="1"/>
  <c r="L9" i="5"/>
  <c r="O26" i="1"/>
  <c r="I28" i="1"/>
  <c r="D25" i="2"/>
  <c r="L17" i="1"/>
  <c r="L20" i="1"/>
  <c r="L23" i="1"/>
  <c r="L14" i="5"/>
  <c r="L12" i="5"/>
  <c r="L19" i="1" s="1"/>
  <c r="K25" i="2"/>
  <c r="L10" i="5"/>
  <c r="L14" i="1" s="1"/>
  <c r="L17" i="5"/>
  <c r="L27" i="1" s="1"/>
  <c r="K18" i="5"/>
  <c r="F18" i="5"/>
  <c r="J18" i="5"/>
  <c r="L11" i="5"/>
  <c r="L18" i="1" s="1"/>
  <c r="L16" i="5"/>
  <c r="J26" i="1"/>
  <c r="L15" i="5"/>
  <c r="P13" i="5"/>
  <c r="P21" i="1" s="1"/>
  <c r="O19" i="1"/>
  <c r="K26" i="1"/>
  <c r="K27" i="1"/>
  <c r="L13" i="5"/>
  <c r="L21" i="1" s="1"/>
  <c r="P25" i="1"/>
  <c r="P13" i="1"/>
  <c r="P11" i="1"/>
  <c r="J19" i="1"/>
  <c r="J21" i="1"/>
  <c r="P21" i="2"/>
  <c r="P24" i="1" s="1"/>
  <c r="P13" i="2"/>
  <c r="P14" i="1" s="1"/>
  <c r="O18" i="1"/>
  <c r="O10" i="1"/>
  <c r="O11" i="1"/>
  <c r="O13" i="1"/>
  <c r="O15" i="1"/>
  <c r="O17" i="1"/>
  <c r="O20" i="1"/>
  <c r="O23" i="1"/>
  <c r="O25" i="1"/>
  <c r="O27" i="1"/>
  <c r="P19" i="2"/>
  <c r="P22" i="1" s="1"/>
  <c r="P15" i="2"/>
  <c r="P16" i="1" s="1"/>
  <c r="P11" i="2"/>
  <c r="P12" i="1" s="1"/>
  <c r="K9" i="1"/>
  <c r="D9" i="1"/>
  <c r="L10" i="1"/>
  <c r="L12" i="1"/>
  <c r="L16" i="1"/>
  <c r="L22" i="1"/>
  <c r="E25" i="2"/>
  <c r="J9" i="1"/>
  <c r="K10" i="1"/>
  <c r="J11" i="1"/>
  <c r="J13" i="1"/>
  <c r="K14" i="1"/>
  <c r="J15" i="1"/>
  <c r="J17" i="1"/>
  <c r="J20" i="1"/>
  <c r="J23" i="1"/>
  <c r="J25" i="1"/>
  <c r="J27" i="1"/>
  <c r="O18" i="5"/>
  <c r="P18" i="5" s="1"/>
  <c r="P11" i="5"/>
  <c r="P18" i="1" s="1"/>
  <c r="P23" i="2"/>
  <c r="P26" i="1" s="1"/>
  <c r="L8" i="5"/>
  <c r="O25" i="2"/>
  <c r="F25" i="2"/>
  <c r="G12" i="1"/>
  <c r="H14" i="1"/>
  <c r="G14" i="1"/>
  <c r="H16" i="1"/>
  <c r="G16" i="1"/>
  <c r="G18" i="1"/>
  <c r="H22" i="1"/>
  <c r="G22" i="1"/>
  <c r="H24" i="1"/>
  <c r="G24" i="1"/>
  <c r="H9" i="1"/>
  <c r="G9" i="1"/>
  <c r="H11" i="1"/>
  <c r="G11" i="1"/>
  <c r="H13" i="1"/>
  <c r="G13" i="1"/>
  <c r="H15" i="1"/>
  <c r="G15" i="1"/>
  <c r="H17" i="1"/>
  <c r="G17" i="1"/>
  <c r="G20" i="1"/>
  <c r="H23" i="1"/>
  <c r="G23" i="1"/>
  <c r="H21" i="1"/>
  <c r="G21" i="1"/>
  <c r="H19" i="1"/>
  <c r="G19" i="1"/>
  <c r="Q17" i="6"/>
  <c r="P17" i="6"/>
  <c r="H17" i="6"/>
  <c r="G17" i="6"/>
  <c r="G16" i="5" s="1"/>
  <c r="Q16" i="6"/>
  <c r="P16" i="6"/>
  <c r="H16" i="6"/>
  <c r="G16" i="6"/>
  <c r="Q13" i="6"/>
  <c r="P13" i="6"/>
  <c r="H13" i="6"/>
  <c r="H13" i="5" s="1"/>
  <c r="G13" i="6"/>
  <c r="G13" i="5" s="1"/>
  <c r="D13" i="6"/>
  <c r="D21" i="1" s="1"/>
  <c r="Q12" i="4"/>
  <c r="P12" i="4"/>
  <c r="L12" i="4"/>
  <c r="M12" i="4" s="1"/>
  <c r="H12" i="4"/>
  <c r="G12" i="4"/>
  <c r="G27" i="1" l="1"/>
  <c r="F28" i="1"/>
  <c r="E28" i="1"/>
  <c r="H28" i="1" s="1"/>
  <c r="G10" i="1"/>
  <c r="G28" i="1" s="1"/>
  <c r="H27" i="1"/>
  <c r="G26" i="1"/>
  <c r="J21" i="13"/>
  <c r="I21" i="13"/>
  <c r="I11" i="12"/>
  <c r="O28" i="1"/>
  <c r="P28" i="1" s="1"/>
  <c r="L13" i="1"/>
  <c r="L26" i="1"/>
  <c r="L25" i="1"/>
  <c r="L24" i="1"/>
  <c r="L18" i="5"/>
  <c r="H25" i="2"/>
  <c r="P25" i="2"/>
  <c r="D28" i="1"/>
  <c r="L11" i="1"/>
  <c r="L25" i="2"/>
  <c r="L9" i="1"/>
  <c r="K28" i="1"/>
  <c r="J28" i="1"/>
  <c r="O19" i="6"/>
  <c r="J19" i="6"/>
  <c r="K19" i="6"/>
  <c r="L19" i="6"/>
  <c r="M19" i="6"/>
  <c r="N19" i="6"/>
  <c r="I19" i="6"/>
  <c r="F19" i="6"/>
  <c r="E19" i="6"/>
  <c r="J14" i="7"/>
  <c r="K14" i="7"/>
  <c r="L14" i="7"/>
  <c r="M14" i="7"/>
  <c r="N14" i="7"/>
  <c r="I14" i="7"/>
  <c r="F14" i="7"/>
  <c r="E14" i="7"/>
  <c r="D14" i="7"/>
  <c r="P11" i="7"/>
  <c r="G11" i="7"/>
  <c r="O13" i="7"/>
  <c r="P13" i="7" s="1"/>
  <c r="H13" i="7"/>
  <c r="H15" i="5" s="1"/>
  <c r="G13" i="7"/>
  <c r="G15" i="5" s="1"/>
  <c r="Q12" i="7"/>
  <c r="P12" i="7"/>
  <c r="H12" i="7"/>
  <c r="G12" i="7"/>
  <c r="P10" i="7"/>
  <c r="G10" i="7"/>
  <c r="Q9" i="7"/>
  <c r="P9" i="7"/>
  <c r="G9" i="7"/>
  <c r="A9" i="7"/>
  <c r="A10" i="7" s="1"/>
  <c r="A11" i="7" s="1"/>
  <c r="A12" i="7" s="1"/>
  <c r="A13" i="7" s="1"/>
  <c r="Q8" i="7"/>
  <c r="P8" i="7"/>
  <c r="G8" i="7"/>
  <c r="Q19" i="6"/>
  <c r="P12" i="6"/>
  <c r="H12" i="6"/>
  <c r="H12" i="5" s="1"/>
  <c r="G12" i="6"/>
  <c r="Q14" i="6"/>
  <c r="P14" i="6"/>
  <c r="H14" i="6"/>
  <c r="G14" i="6"/>
  <c r="Q18" i="6"/>
  <c r="P18" i="6"/>
  <c r="H18" i="6"/>
  <c r="H17" i="5" s="1"/>
  <c r="G18" i="6"/>
  <c r="G17" i="5" s="1"/>
  <c r="Q15" i="6"/>
  <c r="P15" i="6"/>
  <c r="H15" i="6"/>
  <c r="H14" i="5" s="1"/>
  <c r="G15" i="6"/>
  <c r="Q11" i="6"/>
  <c r="P11" i="6"/>
  <c r="H11" i="6"/>
  <c r="H11" i="5" s="1"/>
  <c r="G11" i="6"/>
  <c r="G11" i="5" s="1"/>
  <c r="P10" i="6"/>
  <c r="G10" i="6"/>
  <c r="Q9" i="6"/>
  <c r="P9" i="6"/>
  <c r="A9" i="6"/>
  <c r="A10" i="6" s="1"/>
  <c r="A11" i="6" s="1"/>
  <c r="A12" i="6" s="1"/>
  <c r="A13" i="6" s="1"/>
  <c r="A14" i="6" s="1"/>
  <c r="A15" i="6" s="1"/>
  <c r="A16" i="6" s="1"/>
  <c r="A17" i="6" s="1"/>
  <c r="A18" i="6" s="1"/>
  <c r="Q8" i="6"/>
  <c r="P8" i="6"/>
  <c r="H8" i="6"/>
  <c r="H8" i="5" s="1"/>
  <c r="G8" i="6"/>
  <c r="D19" i="6"/>
  <c r="A9" i="5"/>
  <c r="A10" i="5" s="1"/>
  <c r="A11" i="5" s="1"/>
  <c r="A12" i="5" s="1"/>
  <c r="A13" i="5" s="1"/>
  <c r="A14" i="5" s="1"/>
  <c r="A15" i="5" s="1"/>
  <c r="A16" i="5" s="1"/>
  <c r="A17" i="5" s="1"/>
  <c r="O16" i="4"/>
  <c r="N16" i="4"/>
  <c r="K16" i="4"/>
  <c r="J16" i="4"/>
  <c r="I16" i="4"/>
  <c r="F16" i="4"/>
  <c r="E16" i="4"/>
  <c r="D16" i="4"/>
  <c r="Q15" i="4"/>
  <c r="P15" i="4"/>
  <c r="L15" i="4"/>
  <c r="M15" i="4" s="1"/>
  <c r="H15" i="4"/>
  <c r="G15" i="4"/>
  <c r="Q14" i="4"/>
  <c r="P14" i="4"/>
  <c r="L14" i="4"/>
  <c r="M14" i="4" s="1"/>
  <c r="H14" i="4"/>
  <c r="G14" i="4"/>
  <c r="Q13" i="4"/>
  <c r="P13" i="4"/>
  <c r="L13" i="4"/>
  <c r="M13" i="4" s="1"/>
  <c r="G13" i="4"/>
  <c r="Q11" i="4"/>
  <c r="P11" i="4"/>
  <c r="L11" i="4"/>
  <c r="M11" i="4" s="1"/>
  <c r="H11" i="4"/>
  <c r="G11" i="4"/>
  <c r="Q10" i="4"/>
  <c r="P10" i="4"/>
  <c r="L10" i="4"/>
  <c r="M10" i="4" s="1"/>
  <c r="H10" i="4"/>
  <c r="G10" i="4"/>
  <c r="Q9" i="4"/>
  <c r="P9" i="4"/>
  <c r="L9" i="4"/>
  <c r="M9" i="4" s="1"/>
  <c r="G9" i="4"/>
  <c r="A9" i="4"/>
  <c r="A10" i="4" s="1"/>
  <c r="A11" i="4" s="1"/>
  <c r="A12" i="4" s="1"/>
  <c r="A13" i="4" s="1"/>
  <c r="A14" i="4" s="1"/>
  <c r="A15" i="4" s="1"/>
  <c r="Q8" i="4"/>
  <c r="P8" i="4"/>
  <c r="L8" i="4"/>
  <c r="G8" i="4"/>
  <c r="O25" i="3"/>
  <c r="P25" i="3" s="1"/>
  <c r="K25" i="3"/>
  <c r="J25" i="3"/>
  <c r="L25" i="3" s="1"/>
  <c r="I25" i="3"/>
  <c r="F25" i="3"/>
  <c r="E25" i="3"/>
  <c r="D25" i="3"/>
  <c r="Q22" i="3"/>
  <c r="P22" i="3"/>
  <c r="L22" i="3"/>
  <c r="M22" i="3" s="1"/>
  <c r="H22" i="3"/>
  <c r="H22" i="2" s="1"/>
  <c r="G22" i="3"/>
  <c r="G22" i="2" s="1"/>
  <c r="Q24" i="3"/>
  <c r="P24" i="3"/>
  <c r="L24" i="3"/>
  <c r="M24" i="3" s="1"/>
  <c r="H24" i="3"/>
  <c r="H24" i="2" s="1"/>
  <c r="G24" i="3"/>
  <c r="G24" i="2" s="1"/>
  <c r="Q21" i="3"/>
  <c r="P21" i="3"/>
  <c r="L21" i="3"/>
  <c r="M21" i="3" s="1"/>
  <c r="H21" i="3"/>
  <c r="G21" i="3"/>
  <c r="Q19" i="3"/>
  <c r="P19" i="3"/>
  <c r="L19" i="3"/>
  <c r="M19" i="3" s="1"/>
  <c r="H19" i="3"/>
  <c r="H19" i="2" s="1"/>
  <c r="G19" i="3"/>
  <c r="Q23" i="3"/>
  <c r="P23" i="3"/>
  <c r="L23" i="3"/>
  <c r="M23" i="3" s="1"/>
  <c r="G23" i="3"/>
  <c r="G23" i="2" s="1"/>
  <c r="Q20" i="3"/>
  <c r="P20" i="3"/>
  <c r="L20" i="3"/>
  <c r="M20" i="3" s="1"/>
  <c r="H20" i="3"/>
  <c r="H20" i="2" s="1"/>
  <c r="G20" i="3"/>
  <c r="G20" i="2" s="1"/>
  <c r="Q16" i="3"/>
  <c r="P16" i="3"/>
  <c r="L16" i="3"/>
  <c r="M16" i="3" s="1"/>
  <c r="H16" i="3"/>
  <c r="H16" i="2" s="1"/>
  <c r="G16" i="3"/>
  <c r="G16" i="2" s="1"/>
  <c r="Q17" i="3"/>
  <c r="P17" i="3"/>
  <c r="L17" i="3"/>
  <c r="M17" i="3" s="1"/>
  <c r="H17" i="3"/>
  <c r="H17" i="2" s="1"/>
  <c r="G17" i="3"/>
  <c r="G17" i="2" s="1"/>
  <c r="Q15" i="3"/>
  <c r="P15" i="3"/>
  <c r="L15" i="3"/>
  <c r="M15" i="3" s="1"/>
  <c r="H15" i="3"/>
  <c r="G15" i="3"/>
  <c r="G15" i="2" s="1"/>
  <c r="Q14" i="3"/>
  <c r="P14" i="3"/>
  <c r="L14" i="3"/>
  <c r="M14" i="3" s="1"/>
  <c r="H14" i="3"/>
  <c r="H14" i="2" s="1"/>
  <c r="G14" i="3"/>
  <c r="G14" i="2" s="1"/>
  <c r="Q13" i="3"/>
  <c r="P13" i="3"/>
  <c r="L13" i="3"/>
  <c r="M13" i="3" s="1"/>
  <c r="H13" i="3"/>
  <c r="H13" i="2" s="1"/>
  <c r="G13" i="3"/>
  <c r="G13" i="2" s="1"/>
  <c r="Q12" i="3"/>
  <c r="P12" i="3"/>
  <c r="L12" i="3"/>
  <c r="M12" i="3" s="1"/>
  <c r="H12" i="2"/>
  <c r="G12" i="3"/>
  <c r="Q11" i="3"/>
  <c r="P11" i="3"/>
  <c r="L11" i="3"/>
  <c r="M11" i="3" s="1"/>
  <c r="G11" i="2"/>
  <c r="Q10" i="3"/>
  <c r="P10" i="3"/>
  <c r="L10" i="3"/>
  <c r="M10" i="3" s="1"/>
  <c r="G10" i="3"/>
  <c r="Q9" i="3"/>
  <c r="P9" i="3"/>
  <c r="L9" i="3"/>
  <c r="M9" i="3" s="1"/>
  <c r="G9" i="3"/>
  <c r="G9" i="2" s="1"/>
  <c r="Q8" i="3"/>
  <c r="P8" i="3"/>
  <c r="L8" i="3"/>
  <c r="M8" i="3" s="1"/>
  <c r="H8" i="3"/>
  <c r="H8" i="2" s="1"/>
  <c r="G8" i="3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Q18" i="3"/>
  <c r="P18" i="3"/>
  <c r="L18" i="3"/>
  <c r="M18" i="3" s="1"/>
  <c r="G18" i="3"/>
  <c r="G18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G14" i="5" l="1"/>
  <c r="G25" i="3"/>
  <c r="G10" i="2"/>
  <c r="G12" i="2"/>
  <c r="G19" i="2"/>
  <c r="H15" i="2"/>
  <c r="G21" i="2"/>
  <c r="G10" i="5"/>
  <c r="I29" i="12"/>
  <c r="L28" i="1"/>
  <c r="G12" i="5"/>
  <c r="P16" i="4"/>
  <c r="H21" i="2"/>
  <c r="G8" i="5"/>
  <c r="G8" i="2"/>
  <c r="P19" i="6"/>
  <c r="P14" i="7"/>
  <c r="H14" i="7"/>
  <c r="G14" i="7"/>
  <c r="O14" i="7"/>
  <c r="Q14" i="7" s="1"/>
  <c r="G16" i="4"/>
  <c r="Q16" i="4"/>
  <c r="L16" i="4"/>
  <c r="M8" i="4"/>
  <c r="M16" i="4" s="1"/>
  <c r="M25" i="3"/>
  <c r="H19" i="6"/>
  <c r="H25" i="3"/>
  <c r="Q25" i="3"/>
  <c r="H16" i="4"/>
  <c r="G9" i="6"/>
  <c r="G9" i="5" s="1"/>
  <c r="Q13" i="7"/>
  <c r="H9" i="6"/>
  <c r="H9" i="5" s="1"/>
  <c r="H18" i="5" s="1"/>
  <c r="G25" i="2" l="1"/>
  <c r="R30" i="11"/>
  <c r="G18" i="5"/>
  <c r="G19" i="6"/>
  <c r="N13" i="8"/>
  <c r="P13" i="8" s="1"/>
  <c r="Q13" i="8" s="1"/>
  <c r="N29" i="8" l="1"/>
  <c r="P29" i="8" l="1"/>
  <c r="Q29" i="8" s="1"/>
</calcChain>
</file>

<file path=xl/sharedStrings.xml><?xml version="1.0" encoding="utf-8"?>
<sst xmlns="http://schemas.openxmlformats.org/spreadsheetml/2006/main" count="921" uniqueCount="208">
  <si>
    <t>%</t>
  </si>
  <si>
    <t>TOTAL</t>
  </si>
  <si>
    <t>UNIVERSIDAD TECNOLÓGICA DE TULA-TEPEJI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</si>
  <si>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</si>
  <si>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</si>
  <si>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</si>
  <si>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</si>
  <si>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</si>
  <si>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</si>
  <si>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</si>
  <si>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</si>
  <si>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</si>
  <si>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</si>
  <si>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</si>
  <si>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</si>
  <si>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</si>
  <si>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</si>
  <si>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</si>
  <si>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</si>
  <si>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</si>
  <si>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</si>
  <si>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</si>
  <si>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ENERO - MARZO</t>
  </si>
  <si>
    <t>NO.</t>
  </si>
  <si>
    <t>NOMBRE DEL PROYECTO</t>
  </si>
  <si>
    <t>UNIDAD DE MEDIDA</t>
  </si>
  <si>
    <t>META</t>
  </si>
  <si>
    <t>PRESUPUESTO
(FEDERAL  Y ESTATAL)</t>
  </si>
  <si>
    <t>AL PERIODO</t>
  </si>
  <si>
    <t>ALCANZADA</t>
  </si>
  <si>
    <t>VARIACIÓN</t>
  </si>
  <si>
    <t>ORIGINAL</t>
  </si>
  <si>
    <t>AMPLIACIÓN</t>
  </si>
  <si>
    <t>REDUCCIÓN</t>
  </si>
  <si>
    <t>MODIFICADO</t>
  </si>
  <si>
    <t>AL PERÍODO</t>
  </si>
  <si>
    <t>AL PERIODO                 (a)</t>
  </si>
  <si>
    <t>EJERCIDO               (b)</t>
  </si>
  <si>
    <t>VARIACIÓN  (a-b)</t>
  </si>
  <si>
    <t>OBSERVA-
CIONES</t>
  </si>
  <si>
    <t>CANTIDAD</t>
  </si>
  <si>
    <t>PESOS</t>
  </si>
  <si>
    <t>Vinculación</t>
  </si>
  <si>
    <t>Convenio 
firmado</t>
  </si>
  <si>
    <t>Estadías</t>
  </si>
  <si>
    <t>Adecuación curricular</t>
  </si>
  <si>
    <t>Material didáctico</t>
  </si>
  <si>
    <t>Estructuras académicas</t>
  </si>
  <si>
    <t>Evaluación al desempeño escolar</t>
  </si>
  <si>
    <t>Alumno 
evaluado</t>
  </si>
  <si>
    <t>Atención compensatoria</t>
  </si>
  <si>
    <t>Alumno 
beneficiado</t>
  </si>
  <si>
    <t>Orientación</t>
  </si>
  <si>
    <t>Actividades culturales, deportivas  y recreativas</t>
  </si>
  <si>
    <t>Evento 
realizado</t>
  </si>
  <si>
    <t>Investigación</t>
  </si>
  <si>
    <t>Capacitación y actualización docente</t>
  </si>
  <si>
    <t>Docente capacitado 
y/o actualizado</t>
  </si>
  <si>
    <t>Capacitación y actualización de Servidores públicos</t>
  </si>
  <si>
    <t>Sistemas de Información</t>
  </si>
  <si>
    <t>Sistema
 implantado</t>
  </si>
  <si>
    <t>Difusión Institucional</t>
  </si>
  <si>
    <t>Actividad
 difundida</t>
  </si>
  <si>
    <t>Mantenimiento preventivo y correctivo</t>
  </si>
  <si>
    <t>Evaluación Institucional</t>
  </si>
  <si>
    <t>Gestión y desarrollo del servicio educativo</t>
  </si>
  <si>
    <t>Sistema en 
operación</t>
  </si>
  <si>
    <t>AL PERIODO
(a)</t>
  </si>
  <si>
    <t xml:space="preserve">EJERCIDO 
(b)             </t>
  </si>
  <si>
    <t>RECURSOS COMPLEMENTARIOS</t>
  </si>
  <si>
    <t>INGRESOS PROPIOS</t>
  </si>
  <si>
    <t>ANUAL</t>
  </si>
  <si>
    <t>Material Didáctico</t>
  </si>
  <si>
    <t>Trámite 
realizado</t>
  </si>
  <si>
    <t>Atención Compensatoria</t>
  </si>
  <si>
    <t>Gestión y Desarrollo del Servicio Educativo</t>
  </si>
  <si>
    <t>Sistema en 
Operación</t>
  </si>
  <si>
    <t>Extensión</t>
  </si>
  <si>
    <t>Evaluación Educativa</t>
  </si>
  <si>
    <t xml:space="preserve">ENERO - MARZO </t>
  </si>
  <si>
    <t xml:space="preserve"> PROGRAMA OPERATIVO ANUAL 2009   (SUBSIDIO UACh)</t>
  </si>
  <si>
    <t xml:space="preserve"> PROGRAMA OPERATIVO ANUAL  2010  (INGRESOS PROPIOS TULA)</t>
  </si>
  <si>
    <t xml:space="preserve"> PROGRAMA OPERATIVO ANUAL  2010  (INGRESOS PROPIOS UACh)</t>
  </si>
  <si>
    <t xml:space="preserve"> PROGRAMA OPERATIVO ANUAL 2010   (SUBSIDIO TULA)</t>
  </si>
  <si>
    <t>Docente capacitado y/o actualizado</t>
  </si>
  <si>
    <t>Equipamiento</t>
  </si>
  <si>
    <t>Estadía 
realizada</t>
  </si>
  <si>
    <t>Adecuación curricular aprobada</t>
  </si>
  <si>
    <t>Material didáctico
distribuido</t>
  </si>
  <si>
    <t>Estudiante
 evaluado</t>
  </si>
  <si>
    <t>Alumno 
atendido</t>
  </si>
  <si>
    <t>Investigación
realizada</t>
  </si>
  <si>
    <t>Persona capacitada 
y/o  actualizada</t>
  </si>
  <si>
    <t>Mantenimiento preventivo y/o correctivo realizado</t>
  </si>
  <si>
    <t>Informe de 
evaluación</t>
  </si>
  <si>
    <t>Sistema 
implantado</t>
  </si>
  <si>
    <t>Lote
distribuido</t>
  </si>
  <si>
    <t>Estudiante 
evaluado</t>
  </si>
  <si>
    <t>Mantenimiento preventivo y/o correctivo
realizado</t>
  </si>
  <si>
    <t>Mantenimiento
preventivo y/o correctivo realizado</t>
  </si>
  <si>
    <t>Servicios
aplicados</t>
  </si>
  <si>
    <t>Servicios tecnológicos realizados</t>
  </si>
  <si>
    <t>Pago de 
servicios</t>
  </si>
  <si>
    <t>Certificación realizada</t>
  </si>
  <si>
    <t>Servicios 
aplicados</t>
  </si>
  <si>
    <t>PROYECTO</t>
  </si>
  <si>
    <t>UNIDAD DE 
MEDIDA</t>
  </si>
  <si>
    <t>PRESUPUESTO</t>
  </si>
  <si>
    <t>AL 
PERIODO</t>
  </si>
  <si>
    <t>OBSER-
VACIONES</t>
  </si>
  <si>
    <t>AL PERIODO                 
(a)</t>
  </si>
  <si>
    <t>EJERCIDO               
(b)</t>
  </si>
  <si>
    <t>VARIACIÓN (a-b)</t>
  </si>
  <si>
    <t>EJERCIDO
(b)</t>
  </si>
  <si>
    <t xml:space="preserve"> PROGRAMA OPERATIVO ANUAL 2011 (CONSOLIDADO)</t>
  </si>
  <si>
    <t xml:space="preserve"> PROGRAMA OPERATIVO ANUAL 2011   (SUBSIDIO)</t>
  </si>
  <si>
    <t xml:space="preserve"> PROGRAMA OPERATIVO ANUAL  2011  (INGRESOS PROPIOS)</t>
  </si>
  <si>
    <t>Alumno   
atendido</t>
  </si>
  <si>
    <t>Cédula 
tramitada</t>
  </si>
  <si>
    <t>Sistema implantado</t>
  </si>
  <si>
    <t>Persona capacitada y/o actualizada</t>
  </si>
  <si>
    <t>Materiales didácticos</t>
  </si>
  <si>
    <t>Evaluación educativa</t>
  </si>
  <si>
    <t>Sistemas de información</t>
  </si>
  <si>
    <t>Evaluación institucional</t>
  </si>
  <si>
    <t>Material 
didáctico distribuido</t>
  </si>
  <si>
    <t>Mantenimiento  preventivo y/o correctivo
realizado</t>
  </si>
  <si>
    <t>Informe 
de evaluación</t>
  </si>
  <si>
    <t>Difusión institucional</t>
  </si>
  <si>
    <t>ABRIL - JUNIO</t>
  </si>
  <si>
    <t>Lote Distribuido</t>
  </si>
  <si>
    <t>SUFICIENCIA PRESUPUESTAL</t>
  </si>
  <si>
    <t>POSITIVA</t>
  </si>
  <si>
    <t>NEGATIVA</t>
  </si>
  <si>
    <t>MODIFICADA</t>
  </si>
  <si>
    <t>T</t>
  </si>
  <si>
    <t>PRESUPUESTO (FEDERAL  Y ESTATAL)</t>
  </si>
  <si>
    <t>AMPLIA-
CIÓN</t>
  </si>
  <si>
    <t xml:space="preserve"> PROGRAMA OPERATIVO ANUAL  2012  (INGRESOS PROPIOS)</t>
  </si>
  <si>
    <t xml:space="preserve"> PROGRAMA OPERATIVO ANUAL 2012   (SUBSIDIO)</t>
  </si>
  <si>
    <t>Becas</t>
  </si>
  <si>
    <t>Seguimiento Realizado</t>
  </si>
  <si>
    <t>Investigación Educativa</t>
  </si>
  <si>
    <t>Infraestructura</t>
  </si>
  <si>
    <t>Sistema Implantado</t>
  </si>
  <si>
    <t>U</t>
  </si>
  <si>
    <t>V</t>
  </si>
  <si>
    <t>W</t>
  </si>
  <si>
    <t>Adecuación Curricular</t>
  </si>
  <si>
    <t>Evaluación al Desempeño Escolar</t>
  </si>
  <si>
    <t>Actividades, culturales, deportivas y recreativas</t>
  </si>
  <si>
    <t>Difusión  Institucional</t>
  </si>
  <si>
    <t>Capacitación y actualización de servidores públicos</t>
  </si>
  <si>
    <t>Evaluacion institucional</t>
  </si>
  <si>
    <t>Capacitación y Actualización Docente</t>
  </si>
  <si>
    <t>Alumno
atendido</t>
  </si>
  <si>
    <t>1.- La modificación al POA, fue aprobada por el H.Consejo Directivo en la Quincuagésima Primera Sesión Ordinaria del 2012.</t>
  </si>
  <si>
    <t>ENERO - DICIEMBRE</t>
  </si>
  <si>
    <t>EJERCIDO
AL PERIODO</t>
  </si>
  <si>
    <t>Ene-Mar</t>
  </si>
  <si>
    <t>Abr-Jun</t>
  </si>
  <si>
    <t>PROGRAMADA
AL PERIODO</t>
  </si>
  <si>
    <t>ALCANZADA
AL PERIODO</t>
  </si>
  <si>
    <t>Jul-Sep</t>
  </si>
  <si>
    <t>Oct-Dic</t>
  </si>
  <si>
    <t>Difusión institucional. Actividad de difusión institucional de educación superior realizada.</t>
  </si>
  <si>
    <t>PROGRAMADA</t>
  </si>
  <si>
    <t>ene-mar</t>
  </si>
  <si>
    <t>abr-jun</t>
  </si>
  <si>
    <t>ANUAL
ORIGINAL</t>
  </si>
  <si>
    <t>Materiales didácticos. Material didáctico para atender necesidades de educación superior distribuido.</t>
  </si>
  <si>
    <t>Atención compensatoria. Servicio de atención compensatoria a estudiantes de educación superior otorgada.</t>
  </si>
  <si>
    <t>Orientación. Servicio de orientación vocacional y profesional a estudiantes de educación superior otorgada.</t>
  </si>
  <si>
    <t>Actividades culturales, deportivas y recreativas. Evento para estudiantes de educación superior realizado.</t>
  </si>
  <si>
    <t>Adecuación curricular. Adecuación curricular a programas de educación superior aprobada.</t>
  </si>
  <si>
    <t>Becas. Beca a alumnos de educación superior otorgada.</t>
  </si>
  <si>
    <t>Capacitación y actualización docente. Capacitación y actualización para docentes de educación superior realizada.</t>
  </si>
  <si>
    <t>Investigación. Investigación para educación superior realizada.</t>
  </si>
  <si>
    <t>Capacitación y actualización de servidores públicos, directivos y administrativos. Capacitación y actualización para personal de educación superior realizada.</t>
  </si>
  <si>
    <t>Equipamiento. Mobiliario y equipo para atender necesidades de educación superior distribuido.</t>
  </si>
  <si>
    <t>Mantenimiento preventivo y correctivo. Servicio de mantenimiento para atender las necesidades de educación superior realizado.</t>
  </si>
  <si>
    <t>Gestión y desarrollo del servicio educativo. Sistema de administración en educación superior operando.</t>
  </si>
  <si>
    <t>Sistemas de información. Sistema de información en educación superior implantado.</t>
  </si>
  <si>
    <t>Evaluación institucional. Informe de evaluación de educación superior realizado.</t>
  </si>
  <si>
    <t>Adecuación
curricular</t>
  </si>
  <si>
    <t>Investigación educativa. Investigación educativa en educación superior realizada.</t>
  </si>
  <si>
    <t>Mantenimiento
realizado</t>
  </si>
  <si>
    <t>ANUAL
MODIFICADA</t>
  </si>
  <si>
    <t>"Bajo protesta de decir verdad declaramos que los Estados Financieros y sus Notas, son razonablemente correctos y son responsabilidad del emisor".</t>
  </si>
  <si>
    <t>INFORMACIÓN PROGRAMÁTICA DEL PROGRAMA OPERATIVO ANUAL 2016</t>
  </si>
  <si>
    <t>ENERO - JUNIO</t>
  </si>
  <si>
    <t>Alumno
beneficiado</t>
  </si>
  <si>
    <t>Convenio</t>
  </si>
  <si>
    <t>Evento</t>
  </si>
  <si>
    <t>Lote</t>
  </si>
  <si>
    <t>Sistema</t>
  </si>
  <si>
    <t>Informe</t>
  </si>
  <si>
    <t>Estructuras académicas. Convenio para movilidad de educación superior firmado.</t>
  </si>
  <si>
    <t>Evaluación del desempeño escolar. Evaluación a estudiantes de educación superior realizada.</t>
  </si>
  <si>
    <t>Estudiante
atendido</t>
  </si>
  <si>
    <t>Personal
docente</t>
  </si>
  <si>
    <t>Vinculación. Convenio para fortalecer la educación superior firmado.</t>
  </si>
  <si>
    <t>Extensión. Servicio de extensión para la comunidad y educación superior realizado.</t>
  </si>
  <si>
    <t>Servicio de
extensión</t>
  </si>
  <si>
    <t>Actividades 
de difución</t>
  </si>
  <si>
    <t>Servidor
público</t>
  </si>
  <si>
    <r>
      <t xml:space="preserve">ANUAL
</t>
    </r>
    <r>
      <rPr>
        <b/>
        <sz val="9"/>
        <rFont val="Arial"/>
        <family val="2"/>
      </rPr>
      <t>APROBADO</t>
    </r>
  </si>
  <si>
    <r>
      <t xml:space="preserve">NOTAS:
</t>
    </r>
    <r>
      <rPr>
        <i/>
        <sz val="9"/>
        <rFont val="Arial"/>
        <family val="2"/>
      </rPr>
      <t>1) El Programa Operativo Anual Modificado 2016, fue presentado en la Sexagésima Séptima Sesión Ordinaria del 2016 del H. Consejo Directivo de la Universidad Tecnológica de Tula - Tepeji, realizada el 10 de mayo de 2016.
2) La ampliación y reducción de metas del trimestre abril-junio-2016 se presentarán en la Sexagésima Octava Sesión Ordinaria del  2016 del H. Consejo Directivo de la Universidad Tecnológica de Tula - Tepeji, la cual se realizará el 05 de agosto de 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</si>
</sst>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000"/>
    <numFmt numFmtId="165" formatCode="_-* #,##0_-;\-* #,##0_-;_-* &quot;-&quot;??_-;_-@_-"/>
    <numFmt numFmtId="166" formatCode="#,##0_ ;\-#,##0\ "/>
    <numFmt numFmtId="167" formatCode="#,##0.0"/>
    <numFmt numFmtId="168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7.5"/>
      <name val="Arial"/>
      <family val="2"/>
    </font>
    <font>
      <b/>
      <sz val="11"/>
      <color theme="1"/>
      <name val="Arial"/>
      <family val="2"/>
    </font>
    <font>
      <b/>
      <sz val="9"/>
      <color theme="9" tint="-0.249977111117893"/>
      <name val="Arial"/>
      <family val="2"/>
    </font>
    <font>
      <sz val="9"/>
      <color rgb="FF000000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sz val="9"/>
      <color theme="9" tint="-0.249977111117893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9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44" fontId="6" fillId="0" borderId="0" applyFont="0" applyFill="0" applyBorder="0" applyAlignment="0" applyProtection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86">
    <xf numFmtId="0" fontId="0" fillId="0" borderId="0" xfId="0"/>
    <xf numFmtId="3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 applyAlignment="1"/>
    <xf numFmtId="164" fontId="2" fillId="0" borderId="0" xfId="0" applyNumberFormat="1" applyFont="1" applyFill="1"/>
    <xf numFmtId="49" fontId="4" fillId="0" borderId="9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vertical="center"/>
    </xf>
    <xf numFmtId="3" fontId="4" fillId="0" borderId="9" xfId="0" applyNumberFormat="1" applyFont="1" applyFill="1" applyBorder="1" applyAlignment="1">
      <alignment horizontal="center" vertical="center"/>
    </xf>
    <xf numFmtId="9" fontId="4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/>
    <xf numFmtId="0" fontId="8" fillId="0" borderId="0" xfId="3" applyFont="1" applyBorder="1"/>
    <xf numFmtId="0" fontId="10" fillId="0" borderId="0" xfId="3" applyFont="1" applyBorder="1" applyAlignment="1"/>
    <xf numFmtId="0" fontId="6" fillId="0" borderId="0" xfId="3" applyBorder="1"/>
    <xf numFmtId="0" fontId="5" fillId="2" borderId="1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/>
    </xf>
    <xf numFmtId="0" fontId="4" fillId="4" borderId="1" xfId="3" applyFont="1" applyFill="1" applyBorder="1" applyAlignment="1">
      <alignment vertical="center" wrapText="1"/>
    </xf>
    <xf numFmtId="0" fontId="11" fillId="4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3" fontId="4" fillId="3" borderId="1" xfId="3" applyNumberFormat="1" applyFont="1" applyFill="1" applyBorder="1" applyAlignment="1">
      <alignment horizontal="right" vertical="center"/>
    </xf>
    <xf numFmtId="9" fontId="4" fillId="3" borderId="1" xfId="5" applyFont="1" applyFill="1" applyBorder="1" applyAlignment="1">
      <alignment horizontal="right" vertical="center"/>
    </xf>
    <xf numFmtId="0" fontId="11" fillId="4" borderId="1" xfId="3" applyFont="1" applyFill="1" applyBorder="1" applyAlignment="1">
      <alignment horizontal="center" vertical="center" wrapText="1" shrinkToFit="1"/>
    </xf>
    <xf numFmtId="0" fontId="6" fillId="0" borderId="0" xfId="3" applyBorder="1" applyAlignment="1">
      <alignment wrapText="1"/>
    </xf>
    <xf numFmtId="0" fontId="8" fillId="0" borderId="1" xfId="3" applyFont="1" applyBorder="1" applyAlignment="1">
      <alignment horizontal="center" vertical="center" wrapText="1"/>
    </xf>
    <xf numFmtId="0" fontId="4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5" fillId="5" borderId="1" xfId="3" applyFont="1" applyFill="1" applyBorder="1" applyAlignment="1">
      <alignment horizontal="center" vertical="center"/>
    </xf>
    <xf numFmtId="1" fontId="5" fillId="5" borderId="1" xfId="3" applyNumberFormat="1" applyFont="1" applyFill="1" applyBorder="1" applyAlignment="1">
      <alignment horizontal="center" vertical="center"/>
    </xf>
    <xf numFmtId="9" fontId="5" fillId="5" borderId="1" xfId="5" applyNumberFormat="1" applyFont="1" applyFill="1" applyBorder="1" applyAlignment="1">
      <alignment horizontal="center" vertical="center"/>
    </xf>
    <xf numFmtId="3" fontId="5" fillId="5" borderId="1" xfId="3" applyNumberFormat="1" applyFont="1" applyFill="1" applyBorder="1" applyAlignment="1">
      <alignment horizontal="right" vertical="center"/>
    </xf>
    <xf numFmtId="165" fontId="5" fillId="5" borderId="1" xfId="4" applyNumberFormat="1" applyFont="1" applyFill="1" applyBorder="1" applyAlignment="1">
      <alignment horizontal="right" vertical="center"/>
    </xf>
    <xf numFmtId="9" fontId="5" fillId="5" borderId="1" xfId="5" applyFont="1" applyFill="1" applyBorder="1" applyAlignment="1">
      <alignment horizontal="right" vertical="center"/>
    </xf>
    <xf numFmtId="3" fontId="5" fillId="0" borderId="6" xfId="3" applyNumberFormat="1" applyFont="1" applyFill="1" applyBorder="1" applyAlignment="1">
      <alignment horizontal="right" vertical="center"/>
    </xf>
    <xf numFmtId="0" fontId="4" fillId="0" borderId="0" xfId="3" applyFont="1" applyBorder="1"/>
    <xf numFmtId="0" fontId="5" fillId="0" borderId="0" xfId="3" applyFont="1" applyFill="1" applyBorder="1" applyAlignment="1">
      <alignment horizontal="center" vertical="center"/>
    </xf>
    <xf numFmtId="9" fontId="5" fillId="0" borderId="0" xfId="5" applyNumberFormat="1" applyFont="1" applyFill="1" applyBorder="1" applyAlignment="1">
      <alignment horizontal="center" vertical="center"/>
    </xf>
    <xf numFmtId="3" fontId="5" fillId="0" borderId="0" xfId="3" applyNumberFormat="1" applyFont="1" applyFill="1" applyBorder="1" applyAlignment="1">
      <alignment horizontal="right" vertical="center"/>
    </xf>
    <xf numFmtId="9" fontId="5" fillId="0" borderId="0" xfId="5" applyFont="1" applyFill="1" applyBorder="1" applyAlignment="1">
      <alignment horizontal="right" vertical="center"/>
    </xf>
    <xf numFmtId="0" fontId="4" fillId="0" borderId="0" xfId="3" applyFont="1" applyFill="1" applyBorder="1"/>
    <xf numFmtId="0" fontId="6" fillId="0" borderId="0" xfId="3"/>
    <xf numFmtId="3" fontId="6" fillId="0" borderId="0" xfId="3" applyNumberFormat="1"/>
    <xf numFmtId="0" fontId="1" fillId="0" borderId="1" xfId="6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9" fontId="4" fillId="0" borderId="1" xfId="5" applyNumberFormat="1" applyFont="1" applyFill="1" applyBorder="1" applyAlignment="1">
      <alignment horizontal="center" vertical="center"/>
    </xf>
    <xf numFmtId="3" fontId="4" fillId="4" borderId="1" xfId="3" applyNumberFormat="1" applyFont="1" applyFill="1" applyBorder="1" applyAlignment="1">
      <alignment horizontal="right" vertical="center"/>
    </xf>
    <xf numFmtId="3" fontId="4" fillId="0" borderId="1" xfId="3" applyNumberFormat="1" applyFont="1" applyFill="1" applyBorder="1" applyAlignment="1">
      <alignment horizontal="right" vertical="center"/>
    </xf>
    <xf numFmtId="0" fontId="1" fillId="0" borderId="1" xfId="6" applyBorder="1" applyAlignment="1">
      <alignment horizontal="center" vertical="center"/>
    </xf>
    <xf numFmtId="166" fontId="4" fillId="0" borderId="1" xfId="7" applyNumberFormat="1" applyFont="1" applyFill="1" applyBorder="1" applyAlignment="1">
      <alignment vertical="center" wrapText="1"/>
    </xf>
    <xf numFmtId="3" fontId="4" fillId="0" borderId="5" xfId="3" applyNumberFormat="1" applyFont="1" applyFill="1" applyBorder="1" applyAlignment="1">
      <alignment horizontal="right" vertical="center"/>
    </xf>
    <xf numFmtId="165" fontId="4" fillId="0" borderId="1" xfId="4" applyNumberFormat="1" applyFont="1" applyFill="1" applyBorder="1" applyAlignment="1">
      <alignment horizontal="right" vertical="center"/>
    </xf>
    <xf numFmtId="0" fontId="8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6" fillId="0" borderId="0" xfId="3" applyBorder="1" applyAlignment="1">
      <alignment vertical="center"/>
    </xf>
    <xf numFmtId="0" fontId="4" fillId="4" borderId="1" xfId="3" applyFont="1" applyFill="1" applyBorder="1" applyAlignment="1">
      <alignment horizontal="center" vertical="center" wrapText="1" shrinkToFit="1"/>
    </xf>
    <xf numFmtId="9" fontId="4" fillId="4" borderId="1" xfId="5" applyFont="1" applyFill="1" applyBorder="1" applyAlignment="1">
      <alignment horizontal="right" vertical="center"/>
    </xf>
    <xf numFmtId="0" fontId="6" fillId="0" borderId="0" xfId="3" applyBorder="1" applyAlignment="1">
      <alignment vertical="center" wrapText="1"/>
    </xf>
    <xf numFmtId="0" fontId="4" fillId="4" borderId="1" xfId="3" applyFont="1" applyFill="1" applyBorder="1" applyAlignment="1">
      <alignment horizontal="center" vertical="center" wrapText="1"/>
    </xf>
    <xf numFmtId="9" fontId="5" fillId="5" borderId="1" xfId="5" applyFont="1" applyFill="1" applyBorder="1" applyAlignment="1">
      <alignment horizontal="center" vertical="center"/>
    </xf>
    <xf numFmtId="0" fontId="6" fillId="0" borderId="0" xfId="3" applyAlignment="1">
      <alignment vertical="center"/>
    </xf>
    <xf numFmtId="0" fontId="6" fillId="0" borderId="0" xfId="3" applyFill="1" applyBorder="1" applyAlignment="1">
      <alignment vertical="center"/>
    </xf>
    <xf numFmtId="0" fontId="1" fillId="0" borderId="1" xfId="8" applyBorder="1" applyAlignment="1">
      <alignment horizontal="center" vertical="center"/>
    </xf>
    <xf numFmtId="165" fontId="4" fillId="4" borderId="1" xfId="4" applyNumberFormat="1" applyFont="1" applyFill="1" applyBorder="1" applyAlignment="1">
      <alignment horizontal="right" vertical="center"/>
    </xf>
    <xf numFmtId="0" fontId="2" fillId="4" borderId="1" xfId="3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/>
    </xf>
    <xf numFmtId="165" fontId="6" fillId="0" borderId="0" xfId="2" applyNumberFormat="1" applyFont="1"/>
    <xf numFmtId="43" fontId="4" fillId="0" borderId="0" xfId="2" applyFont="1" applyFill="1" applyAlignment="1">
      <alignment vertical="center"/>
    </xf>
    <xf numFmtId="0" fontId="4" fillId="0" borderId="0" xfId="3" applyFont="1" applyAlignment="1">
      <alignment vertical="center" wrapText="1"/>
    </xf>
    <xf numFmtId="0" fontId="8" fillId="3" borderId="1" xfId="3" applyFont="1" applyFill="1" applyBorder="1" applyAlignment="1">
      <alignment horizontal="center" vertical="center"/>
    </xf>
    <xf numFmtId="0" fontId="8" fillId="3" borderId="1" xfId="3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2" fontId="1" fillId="0" borderId="1" xfId="8" applyNumberFormat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2" fontId="4" fillId="0" borderId="1" xfId="3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vertical="center"/>
    </xf>
    <xf numFmtId="165" fontId="4" fillId="0" borderId="1" xfId="3" applyNumberFormat="1" applyFont="1" applyFill="1" applyBorder="1" applyAlignment="1">
      <alignment horizontal="center" vertical="center" wrapText="1"/>
    </xf>
    <xf numFmtId="165" fontId="10" fillId="0" borderId="0" xfId="2" applyNumberFormat="1" applyFont="1" applyBorder="1" applyAlignment="1"/>
    <xf numFmtId="165" fontId="5" fillId="0" borderId="0" xfId="2" applyNumberFormat="1" applyFont="1" applyFill="1" applyBorder="1" applyAlignment="1">
      <alignment horizontal="right" vertical="center"/>
    </xf>
    <xf numFmtId="165" fontId="4" fillId="0" borderId="0" xfId="2" applyNumberFormat="1" applyFont="1" applyAlignment="1">
      <alignment vertical="center" wrapText="1"/>
    </xf>
    <xf numFmtId="1" fontId="4" fillId="0" borderId="1" xfId="3" applyNumberFormat="1" applyFont="1" applyFill="1" applyBorder="1" applyAlignment="1">
      <alignment horizontal="center" vertical="center" wrapText="1"/>
    </xf>
    <xf numFmtId="9" fontId="2" fillId="0" borderId="0" xfId="1" applyFont="1" applyFill="1"/>
    <xf numFmtId="9" fontId="3" fillId="2" borderId="1" xfId="1" applyFont="1" applyFill="1" applyBorder="1" applyAlignment="1">
      <alignment horizontal="center" vertical="center"/>
    </xf>
    <xf numFmtId="9" fontId="2" fillId="0" borderId="0" xfId="1" applyFont="1" applyFill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9" fontId="4" fillId="2" borderId="9" xfId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" fontId="5" fillId="2" borderId="1" xfId="3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center" vertical="center"/>
    </xf>
    <xf numFmtId="9" fontId="5" fillId="2" borderId="1" xfId="5" applyNumberFormat="1" applyFont="1" applyFill="1" applyBorder="1" applyAlignment="1">
      <alignment horizontal="center" vertical="center"/>
    </xf>
    <xf numFmtId="3" fontId="5" fillId="2" borderId="1" xfId="3" applyNumberFormat="1" applyFont="1" applyFill="1" applyBorder="1" applyAlignment="1">
      <alignment horizontal="right" vertical="center"/>
    </xf>
    <xf numFmtId="3" fontId="5" fillId="2" borderId="1" xfId="3" applyNumberFormat="1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horizontal="right" vertical="center"/>
    </xf>
    <xf numFmtId="165" fontId="5" fillId="2" borderId="1" xfId="4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9" fontId="10" fillId="0" borderId="0" xfId="1" applyFont="1" applyFill="1" applyBorder="1" applyAlignment="1">
      <alignment vertical="center"/>
    </xf>
    <xf numFmtId="1" fontId="5" fillId="0" borderId="0" xfId="3" applyNumberFormat="1" applyFont="1" applyFill="1" applyBorder="1" applyAlignment="1">
      <alignment horizontal="center" vertical="center"/>
    </xf>
    <xf numFmtId="3" fontId="5" fillId="0" borderId="0" xfId="3" applyNumberFormat="1" applyFont="1" applyFill="1" applyBorder="1" applyAlignment="1">
      <alignment horizontal="center" vertical="center"/>
    </xf>
    <xf numFmtId="165" fontId="5" fillId="0" borderId="0" xfId="4" applyNumberFormat="1" applyFont="1" applyFill="1" applyBorder="1" applyAlignment="1">
      <alignment horizontal="right" vertical="center"/>
    </xf>
    <xf numFmtId="3" fontId="2" fillId="0" borderId="0" xfId="0" applyNumberFormat="1" applyFont="1" applyFill="1"/>
    <xf numFmtId="0" fontId="5" fillId="2" borderId="1" xfId="3" applyFont="1" applyFill="1" applyBorder="1" applyAlignment="1">
      <alignment horizontal="center" vertical="center" wrapText="1"/>
    </xf>
    <xf numFmtId="10" fontId="4" fillId="0" borderId="9" xfId="1" applyNumberFormat="1" applyFont="1" applyFill="1" applyBorder="1" applyAlignment="1">
      <alignment vertical="center"/>
    </xf>
    <xf numFmtId="10" fontId="5" fillId="2" borderId="1" xfId="1" applyNumberFormat="1" applyFont="1" applyFill="1" applyBorder="1" applyAlignment="1">
      <alignment vertical="center"/>
    </xf>
    <xf numFmtId="10" fontId="4" fillId="0" borderId="1" xfId="5" applyNumberFormat="1" applyFont="1" applyFill="1" applyBorder="1" applyAlignment="1">
      <alignment horizontal="right" vertical="center"/>
    </xf>
    <xf numFmtId="10" fontId="5" fillId="2" borderId="1" xfId="5" applyNumberFormat="1" applyFont="1" applyFill="1" applyBorder="1" applyAlignment="1">
      <alignment horizontal="right" vertical="center"/>
    </xf>
    <xf numFmtId="10" fontId="4" fillId="4" borderId="1" xfId="5" applyNumberFormat="1" applyFont="1" applyFill="1" applyBorder="1" applyAlignment="1">
      <alignment horizontal="right" vertical="center"/>
    </xf>
    <xf numFmtId="3" fontId="14" fillId="0" borderId="1" xfId="3" applyNumberFormat="1" applyFont="1" applyFill="1" applyBorder="1" applyAlignment="1">
      <alignment horizontal="right" vertical="center"/>
    </xf>
    <xf numFmtId="3" fontId="14" fillId="4" borderId="1" xfId="3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right" vertical="center" wrapText="1"/>
    </xf>
    <xf numFmtId="0" fontId="6" fillId="0" borderId="1" xfId="3" applyBorder="1" applyAlignment="1">
      <alignment vertical="center" wrapText="1"/>
    </xf>
    <xf numFmtId="165" fontId="5" fillId="2" borderId="1" xfId="3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right" vertical="center" wrapText="1"/>
    </xf>
    <xf numFmtId="165" fontId="4" fillId="0" borderId="1" xfId="2" applyNumberFormat="1" applyFont="1" applyFill="1" applyBorder="1" applyAlignment="1">
      <alignment horizontal="right" vertical="center" wrapText="1"/>
    </xf>
    <xf numFmtId="0" fontId="6" fillId="0" borderId="1" xfId="3" applyBorder="1" applyAlignment="1">
      <alignment horizontal="center" vertical="center" wrapText="1"/>
    </xf>
    <xf numFmtId="0" fontId="5" fillId="2" borderId="2" xfId="3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/>
    </xf>
    <xf numFmtId="43" fontId="10" fillId="0" borderId="0" xfId="2" applyNumberFormat="1" applyFont="1" applyBorder="1" applyAlignment="1"/>
    <xf numFmtId="43" fontId="5" fillId="0" borderId="0" xfId="2" applyNumberFormat="1" applyFont="1" applyFill="1" applyBorder="1" applyAlignment="1">
      <alignment horizontal="right" vertical="center"/>
    </xf>
    <xf numFmtId="43" fontId="0" fillId="0" borderId="0" xfId="0" applyNumberFormat="1" applyAlignment="1">
      <alignment vertical="center"/>
    </xf>
    <xf numFmtId="43" fontId="0" fillId="0" borderId="0" xfId="0" applyNumberFormat="1" applyFill="1" applyAlignment="1">
      <alignment vertical="center"/>
    </xf>
    <xf numFmtId="43" fontId="0" fillId="0" borderId="0" xfId="0" applyNumberFormat="1"/>
    <xf numFmtId="43" fontId="4" fillId="0" borderId="0" xfId="2" applyNumberFormat="1" applyFont="1" applyFill="1" applyAlignment="1">
      <alignment vertical="center" wrapText="1"/>
    </xf>
    <xf numFmtId="43" fontId="6" fillId="0" borderId="0" xfId="2" applyNumberFormat="1" applyFont="1"/>
    <xf numFmtId="43" fontId="6" fillId="0" borderId="0" xfId="3" applyNumberFormat="1"/>
    <xf numFmtId="43" fontId="6" fillId="0" borderId="1" xfId="3" applyNumberFormat="1" applyFill="1" applyBorder="1" applyAlignment="1">
      <alignment vertical="center" wrapText="1"/>
    </xf>
    <xf numFmtId="168" fontId="4" fillId="0" borderId="1" xfId="1" applyNumberFormat="1" applyFont="1" applyFill="1" applyBorder="1" applyAlignment="1">
      <alignment horizontal="center" vertical="center" wrapText="1"/>
    </xf>
    <xf numFmtId="165" fontId="6" fillId="0" borderId="0" xfId="3" applyNumberFormat="1" applyAlignment="1">
      <alignment vertical="center"/>
    </xf>
    <xf numFmtId="168" fontId="5" fillId="2" borderId="1" xfId="1" applyNumberFormat="1" applyFont="1" applyFill="1" applyBorder="1" applyAlignment="1">
      <alignment horizontal="right" vertical="center"/>
    </xf>
    <xf numFmtId="3" fontId="4" fillId="0" borderId="1" xfId="3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168" fontId="4" fillId="0" borderId="1" xfId="1" applyNumberFormat="1" applyFont="1" applyFill="1" applyBorder="1" applyAlignment="1">
      <alignment horizontal="right" vertical="center" wrapText="1"/>
    </xf>
    <xf numFmtId="168" fontId="4" fillId="4" borderId="1" xfId="5" applyNumberFormat="1" applyFont="1" applyFill="1" applyBorder="1" applyAlignment="1">
      <alignment horizontal="right" vertical="center"/>
    </xf>
    <xf numFmtId="3" fontId="5" fillId="2" borderId="1" xfId="4" applyNumberFormat="1" applyFont="1" applyFill="1" applyBorder="1" applyAlignment="1">
      <alignment horizontal="right" vertical="center"/>
    </xf>
    <xf numFmtId="168" fontId="5" fillId="2" borderId="1" xfId="5" applyNumberFormat="1" applyFont="1" applyFill="1" applyBorder="1" applyAlignment="1">
      <alignment horizontal="right" vertical="center"/>
    </xf>
    <xf numFmtId="165" fontId="4" fillId="4" borderId="1" xfId="3" applyNumberFormat="1" applyFont="1" applyFill="1" applyBorder="1" applyAlignment="1">
      <alignment horizontal="right" vertical="center"/>
    </xf>
    <xf numFmtId="165" fontId="6" fillId="0" borderId="1" xfId="3" applyNumberFormat="1" applyFill="1" applyBorder="1" applyAlignment="1">
      <alignment vertical="center" wrapText="1"/>
    </xf>
    <xf numFmtId="165" fontId="6" fillId="0" borderId="0" xfId="3" applyNumberFormat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5" fillId="0" borderId="0" xfId="0" applyFont="1" applyFill="1"/>
    <xf numFmtId="3" fontId="4" fillId="4" borderId="1" xfId="3" applyNumberFormat="1" applyFont="1" applyFill="1" applyBorder="1" applyAlignment="1">
      <alignment horizontal="center" vertical="center" wrapText="1" shrinkToFit="1"/>
    </xf>
    <xf numFmtId="3" fontId="4" fillId="4" borderId="1" xfId="3" applyNumberFormat="1" applyFont="1" applyFill="1" applyBorder="1" applyAlignment="1">
      <alignment horizontal="center" vertical="center" wrapText="1"/>
    </xf>
    <xf numFmtId="3" fontId="5" fillId="2" borderId="1" xfId="3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9" fontId="14" fillId="4" borderId="1" xfId="5" applyNumberFormat="1" applyFont="1" applyFill="1" applyBorder="1" applyAlignment="1">
      <alignment vertical="center"/>
    </xf>
    <xf numFmtId="9" fontId="5" fillId="2" borderId="1" xfId="1" applyNumberFormat="1" applyFont="1" applyFill="1" applyBorder="1" applyAlignment="1">
      <alignment vertical="center"/>
    </xf>
    <xf numFmtId="9" fontId="14" fillId="0" borderId="1" xfId="5" applyNumberFormat="1" applyFont="1" applyFill="1" applyBorder="1" applyAlignment="1">
      <alignment horizontal="right" vertical="center"/>
    </xf>
    <xf numFmtId="9" fontId="5" fillId="2" borderId="1" xfId="5" applyNumberFormat="1" applyFont="1" applyFill="1" applyBorder="1" applyAlignment="1">
      <alignment horizontal="right" vertical="center"/>
    </xf>
    <xf numFmtId="3" fontId="5" fillId="2" borderId="1" xfId="3" applyNumberFormat="1" applyFont="1" applyFill="1" applyBorder="1" applyAlignment="1">
      <alignment horizontal="right" vertical="center" wrapText="1"/>
    </xf>
    <xf numFmtId="3" fontId="5" fillId="2" borderId="1" xfId="3" applyNumberFormat="1" applyFont="1" applyFill="1" applyBorder="1" applyAlignment="1">
      <alignment horizontal="center" vertical="center" wrapText="1" shrinkToFit="1"/>
    </xf>
    <xf numFmtId="168" fontId="5" fillId="2" borderId="1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3" applyFont="1" applyBorder="1"/>
    <xf numFmtId="0" fontId="0" fillId="0" borderId="0" xfId="0" applyFont="1" applyAlignment="1">
      <alignment vertical="center"/>
    </xf>
    <xf numFmtId="0" fontId="4" fillId="4" borderId="1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16" fillId="4" borderId="1" xfId="3" applyFont="1" applyFill="1" applyBorder="1" applyAlignment="1">
      <alignment horizontal="center" vertical="center" wrapText="1"/>
    </xf>
    <xf numFmtId="0" fontId="16" fillId="4" borderId="1" xfId="3" applyFont="1" applyFill="1" applyBorder="1" applyAlignment="1">
      <alignment horizontal="center" vertical="center" wrapText="1" shrinkToFit="1"/>
    </xf>
    <xf numFmtId="0" fontId="16" fillId="0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0" fillId="0" borderId="0" xfId="3" applyFont="1" applyFill="1" applyBorder="1" applyAlignment="1">
      <alignment vertical="center"/>
    </xf>
    <xf numFmtId="0" fontId="6" fillId="0" borderId="0" xfId="3" applyFill="1" applyAlignment="1">
      <alignment vertical="center"/>
    </xf>
    <xf numFmtId="0" fontId="0" fillId="0" borderId="0" xfId="0" applyFill="1" applyAlignment="1">
      <alignment vertical="center"/>
    </xf>
    <xf numFmtId="165" fontId="6" fillId="0" borderId="0" xfId="2" applyNumberFormat="1" applyFont="1" applyAlignment="1">
      <alignment vertical="center"/>
    </xf>
    <xf numFmtId="3" fontId="10" fillId="0" borderId="0" xfId="3" applyNumberFormat="1" applyFont="1" applyFill="1" applyBorder="1" applyAlignment="1">
      <alignment horizontal="right" vertical="center"/>
    </xf>
    <xf numFmtId="165" fontId="6" fillId="0" borderId="0" xfId="2" applyNumberFormat="1" applyFont="1" applyBorder="1"/>
    <xf numFmtId="168" fontId="5" fillId="2" borderId="1" xfId="1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4" fontId="4" fillId="4" borderId="1" xfId="3" applyNumberFormat="1" applyFont="1" applyFill="1" applyBorder="1" applyAlignment="1">
      <alignment horizontal="center" vertical="center" wrapText="1"/>
    </xf>
    <xf numFmtId="0" fontId="18" fillId="6" borderId="9" xfId="3" applyFont="1" applyFill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right" vertical="center" wrapText="1"/>
    </xf>
    <xf numFmtId="0" fontId="4" fillId="0" borderId="3" xfId="3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23" fillId="0" borderId="1" xfId="3" applyNumberFormat="1" applyFont="1" applyFill="1" applyBorder="1" applyAlignment="1">
      <alignment horizontal="center" vertical="center" wrapText="1"/>
    </xf>
    <xf numFmtId="3" fontId="23" fillId="0" borderId="1" xfId="3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/>
    </xf>
    <xf numFmtId="0" fontId="22" fillId="2" borderId="9" xfId="3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3" fontId="24" fillId="0" borderId="1" xfId="3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23" fillId="3" borderId="1" xfId="3" applyNumberFormat="1" applyFont="1" applyFill="1" applyBorder="1" applyAlignment="1">
      <alignment horizontal="center" vertical="center" wrapText="1"/>
    </xf>
    <xf numFmtId="0" fontId="23" fillId="7" borderId="1" xfId="3" applyNumberFormat="1" applyFont="1" applyFill="1" applyBorder="1" applyAlignment="1">
      <alignment horizontal="center" vertical="center" wrapText="1"/>
    </xf>
    <xf numFmtId="3" fontId="23" fillId="7" borderId="1" xfId="3" applyNumberFormat="1" applyFont="1" applyFill="1" applyBorder="1" applyAlignment="1">
      <alignment horizontal="center" vertical="center" wrapText="1"/>
    </xf>
    <xf numFmtId="3" fontId="23" fillId="3" borderId="1" xfId="3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 wrapText="1"/>
    </xf>
    <xf numFmtId="165" fontId="5" fillId="2" borderId="9" xfId="2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5" fillId="2" borderId="9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justify" vertical="center" wrapText="1"/>
    </xf>
    <xf numFmtId="0" fontId="6" fillId="0" borderId="0" xfId="3" applyAlignment="1">
      <alignment horizontal="justify" vertical="center" wrapText="1"/>
    </xf>
    <xf numFmtId="0" fontId="5" fillId="5" borderId="3" xfId="3" applyFont="1" applyFill="1" applyBorder="1" applyAlignment="1">
      <alignment horizontal="center" vertical="center"/>
    </xf>
    <xf numFmtId="0" fontId="5" fillId="5" borderId="4" xfId="3" applyFont="1" applyFill="1" applyBorder="1" applyAlignment="1">
      <alignment horizontal="center" vertical="center"/>
    </xf>
    <xf numFmtId="0" fontId="5" fillId="5" borderId="5" xfId="3" applyFont="1" applyFill="1" applyBorder="1" applyAlignment="1">
      <alignment horizontal="center" vertical="center"/>
    </xf>
    <xf numFmtId="0" fontId="8" fillId="0" borderId="0" xfId="3" applyFont="1" applyAlignment="1">
      <alignment horizontal="justify" vertical="top" wrapText="1"/>
    </xf>
    <xf numFmtId="0" fontId="6" fillId="0" borderId="0" xfId="3" applyAlignment="1">
      <alignment horizontal="justify" vertical="top" wrapText="1"/>
    </xf>
    <xf numFmtId="0" fontId="10" fillId="2" borderId="3" xfId="3" applyFont="1" applyFill="1" applyBorder="1" applyAlignment="1">
      <alignment horizontal="center" vertical="center"/>
    </xf>
    <xf numFmtId="0" fontId="10" fillId="2" borderId="4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20" fillId="0" borderId="0" xfId="3" applyFont="1" applyFill="1" applyAlignment="1">
      <alignment horizontal="left" vertical="center" wrapText="1"/>
    </xf>
    <xf numFmtId="0" fontId="22" fillId="2" borderId="3" xfId="3" applyFont="1" applyFill="1" applyBorder="1" applyAlignment="1">
      <alignment horizontal="center" vertical="center" wrapText="1"/>
    </xf>
    <xf numFmtId="0" fontId="22" fillId="2" borderId="4" xfId="3" applyFont="1" applyFill="1" applyBorder="1" applyAlignment="1">
      <alignment horizontal="center" vertical="center" wrapText="1"/>
    </xf>
    <xf numFmtId="0" fontId="22" fillId="2" borderId="5" xfId="3" applyFont="1" applyFill="1" applyBorder="1" applyAlignment="1">
      <alignment horizontal="center" vertical="center" wrapText="1"/>
    </xf>
    <xf numFmtId="49" fontId="17" fillId="0" borderId="0" xfId="0" applyNumberFormat="1" applyFont="1" applyFill="1" applyAlignment="1">
      <alignment horizontal="center"/>
    </xf>
    <xf numFmtId="49" fontId="15" fillId="0" borderId="0" xfId="0" applyNumberFormat="1" applyFont="1" applyFill="1" applyAlignment="1">
      <alignment horizontal="center"/>
    </xf>
    <xf numFmtId="0" fontId="21" fillId="0" borderId="0" xfId="0" applyFont="1" applyFill="1" applyAlignment="1">
      <alignment horizontal="left" vertical="center" wrapText="1"/>
    </xf>
    <xf numFmtId="49" fontId="5" fillId="2" borderId="11" xfId="0" applyNumberFormat="1" applyFont="1" applyFill="1" applyBorder="1" applyAlignment="1">
      <alignment horizontal="center" vertical="center"/>
    </xf>
    <xf numFmtId="0" fontId="10" fillId="2" borderId="6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 wrapText="1"/>
    </xf>
    <xf numFmtId="0" fontId="10" fillId="2" borderId="11" xfId="3" applyFont="1" applyFill="1" applyBorder="1" applyAlignment="1">
      <alignment horizontal="center" vertical="center" wrapText="1"/>
    </xf>
    <xf numFmtId="0" fontId="10" fillId="2" borderId="12" xfId="3" applyFont="1" applyFill="1" applyBorder="1" applyAlignment="1">
      <alignment horizontal="center" vertical="center" wrapText="1"/>
    </xf>
    <xf numFmtId="0" fontId="10" fillId="2" borderId="13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1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9" xfId="3" applyFont="1" applyFill="1" applyBorder="1" applyAlignment="1">
      <alignment horizontal="center" vertical="center"/>
    </xf>
    <xf numFmtId="0" fontId="18" fillId="6" borderId="3" xfId="3" applyFont="1" applyFill="1" applyBorder="1" applyAlignment="1">
      <alignment horizontal="center" vertical="center" wrapText="1"/>
    </xf>
    <xf numFmtId="0" fontId="18" fillId="6" borderId="4" xfId="3" applyFont="1" applyFill="1" applyBorder="1" applyAlignment="1">
      <alignment horizontal="center" vertical="center" wrapText="1"/>
    </xf>
    <xf numFmtId="0" fontId="18" fillId="6" borderId="5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center" vertical="center" wrapText="1"/>
    </xf>
    <xf numFmtId="0" fontId="5" fillId="2" borderId="13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5" borderId="3" xfId="3" applyFont="1" applyFill="1" applyBorder="1" applyAlignment="1">
      <alignment horizontal="center" vertical="center"/>
    </xf>
    <xf numFmtId="0" fontId="10" fillId="5" borderId="4" xfId="3" applyFont="1" applyFill="1" applyBorder="1" applyAlignment="1">
      <alignment horizontal="center" vertical="center"/>
    </xf>
    <xf numFmtId="0" fontId="10" fillId="5" borderId="5" xfId="3" applyFont="1" applyFill="1" applyBorder="1" applyAlignment="1">
      <alignment horizontal="center" vertical="center"/>
    </xf>
  </cellXfs>
  <cellStyles count="29">
    <cellStyle name="Millares" xfId="2" builtinId="3"/>
    <cellStyle name="Millares 2" xfId="4"/>
    <cellStyle name="Moneda 2" xfId="7"/>
    <cellStyle name="Normal" xfId="0" builtinId="0"/>
    <cellStyle name="Normal 10" xfId="9"/>
    <cellStyle name="Normal 11" xfId="10"/>
    <cellStyle name="Normal 13" xfId="11"/>
    <cellStyle name="Normal 14" xfId="12"/>
    <cellStyle name="Normal 15" xfId="13"/>
    <cellStyle name="Normal 16" xfId="14"/>
    <cellStyle name="Normal 17" xfId="15"/>
    <cellStyle name="Normal 18" xfId="16"/>
    <cellStyle name="Normal 19" xfId="6"/>
    <cellStyle name="Normal 2" xfId="3"/>
    <cellStyle name="Normal 2 2" xfId="17"/>
    <cellStyle name="Normal 2 3" xfId="18"/>
    <cellStyle name="Normal 2 4" xfId="19"/>
    <cellStyle name="Normal 2 5" xfId="20"/>
    <cellStyle name="Normal 2 6" xfId="21"/>
    <cellStyle name="Normal 21" xfId="8"/>
    <cellStyle name="Normal 3" xfId="22"/>
    <cellStyle name="Normal 4" xfId="23"/>
    <cellStyle name="Normal 5" xfId="24"/>
    <cellStyle name="Normal 6" xfId="25"/>
    <cellStyle name="Normal 7" xfId="26"/>
    <cellStyle name="Normal 8" xfId="27"/>
    <cellStyle name="Normal 9" xfId="28"/>
    <cellStyle name="Porcentaje" xfId="1" builtinId="5"/>
    <cellStyle name="Porcentual 2" xfId="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21159</xdr:colOff>
      <xdr:row>0</xdr:row>
      <xdr:rowOff>63501</xdr:rowOff>
    </xdr:from>
    <xdr:to>
      <xdr:col>15</xdr:col>
      <xdr:colOff>558115</xdr:colOff>
      <xdr:row>3</xdr:row>
      <xdr:rowOff>84666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</a:blip>
        <a:srcRect/>
        <a:stretch>
          <a:fillRect/>
        </a:stretch>
      </xdr:blipFill>
      <xdr:spPr bwMode="auto">
        <a:xfrm>
          <a:off x="11313576" y="63501"/>
          <a:ext cx="1182539" cy="804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36739</xdr:colOff>
      <xdr:row>31</xdr:row>
      <xdr:rowOff>9525</xdr:rowOff>
    </xdr:from>
    <xdr:to>
      <xdr:col>2</xdr:col>
      <xdr:colOff>379639</xdr:colOff>
      <xdr:row>36</xdr:row>
      <xdr:rowOff>179917</xdr:rowOff>
    </xdr:to>
    <xdr:sp macro="" textlink="">
      <xdr:nvSpPr>
        <xdr:cNvPr id="5" name="4 CuadroTexto"/>
        <xdr:cNvSpPr txBox="1"/>
      </xdr:nvSpPr>
      <xdr:spPr bwMode="auto">
        <a:xfrm>
          <a:off x="36739" y="10116608"/>
          <a:ext cx="2988733" cy="11228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</a:t>
          </a:r>
          <a:r>
            <a:rPr lang="es-MX" sz="1050" b="0" baseline="0">
              <a:latin typeface="Arial" pitchFamily="34" charset="0"/>
              <a:cs typeface="Arial" pitchFamily="34" charset="0"/>
            </a:rPr>
            <a:t>Planeación y Evaluación </a:t>
          </a:r>
          <a:endParaRPr lang="es-MX" sz="105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312969</xdr:colOff>
      <xdr:row>31</xdr:row>
      <xdr:rowOff>14969</xdr:rowOff>
    </xdr:from>
    <xdr:to>
      <xdr:col>10</xdr:col>
      <xdr:colOff>272147</xdr:colOff>
      <xdr:row>37</xdr:row>
      <xdr:rowOff>10585</xdr:rowOff>
    </xdr:to>
    <xdr:sp macro="" textlink="">
      <xdr:nvSpPr>
        <xdr:cNvPr id="8" name="7 CuadroTexto"/>
        <xdr:cNvSpPr txBox="1"/>
      </xdr:nvSpPr>
      <xdr:spPr bwMode="auto">
        <a:xfrm>
          <a:off x="5265969" y="10122052"/>
          <a:ext cx="3345845" cy="11386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</a:t>
          </a:r>
          <a:r>
            <a:rPr lang="es-MX" sz="1050" b="0" baseline="0">
              <a:latin typeface="Arial" pitchFamily="34" charset="0"/>
              <a:cs typeface="Arial" pitchFamily="34" charset="0"/>
            </a:rPr>
            <a:t> de Administración y  Finanzas</a:t>
          </a:r>
          <a:endParaRPr lang="es-MX" sz="105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639528</xdr:colOff>
      <xdr:row>31</xdr:row>
      <xdr:rowOff>0</xdr:rowOff>
    </xdr:from>
    <xdr:to>
      <xdr:col>16</xdr:col>
      <xdr:colOff>671278</xdr:colOff>
      <xdr:row>37</xdr:row>
      <xdr:rowOff>1</xdr:rowOff>
    </xdr:to>
    <xdr:sp macro="" textlink="">
      <xdr:nvSpPr>
        <xdr:cNvPr id="11" name="10 CuadroTexto"/>
        <xdr:cNvSpPr txBox="1"/>
      </xdr:nvSpPr>
      <xdr:spPr bwMode="auto">
        <a:xfrm>
          <a:off x="10609028" y="10106026"/>
          <a:ext cx="2794000" cy="114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251883</xdr:colOff>
      <xdr:row>1</xdr:row>
      <xdr:rowOff>0</xdr:rowOff>
    </xdr:from>
    <xdr:to>
      <xdr:col>1</xdr:col>
      <xdr:colOff>783100</xdr:colOff>
      <xdr:row>3</xdr:row>
      <xdr:rowOff>190498</xdr:rowOff>
    </xdr:to>
    <xdr:pic>
      <xdr:nvPicPr>
        <xdr:cNvPr id="7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883" y="148167"/>
          <a:ext cx="922800" cy="825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621226</xdr:colOff>
      <xdr:row>0</xdr:row>
      <xdr:rowOff>57150</xdr:rowOff>
    </xdr:from>
    <xdr:to>
      <xdr:col>16</xdr:col>
      <xdr:colOff>401093</xdr:colOff>
      <xdr:row>2</xdr:row>
      <xdr:rowOff>228600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55776" y="57150"/>
          <a:ext cx="1113367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36738</xdr:colOff>
      <xdr:row>27</xdr:row>
      <xdr:rowOff>9525</xdr:rowOff>
    </xdr:from>
    <xdr:to>
      <xdr:col>4</xdr:col>
      <xdr:colOff>285750</xdr:colOff>
      <xdr:row>32</xdr:row>
      <xdr:rowOff>169333</xdr:rowOff>
    </xdr:to>
    <xdr:sp macro="" textlink="">
      <xdr:nvSpPr>
        <xdr:cNvPr id="3" name="2 CuadroTexto"/>
        <xdr:cNvSpPr txBox="1"/>
      </xdr:nvSpPr>
      <xdr:spPr bwMode="auto">
        <a:xfrm>
          <a:off x="36738" y="8934450"/>
          <a:ext cx="3230337" cy="1112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6</xdr:col>
      <xdr:colOff>312968</xdr:colOff>
      <xdr:row>27</xdr:row>
      <xdr:rowOff>14969</xdr:rowOff>
    </xdr:from>
    <xdr:to>
      <xdr:col>12</xdr:col>
      <xdr:colOff>42332</xdr:colOff>
      <xdr:row>33</xdr:row>
      <xdr:rowOff>1</xdr:rowOff>
    </xdr:to>
    <xdr:sp macro="" textlink="">
      <xdr:nvSpPr>
        <xdr:cNvPr id="4" name="3 CuadroTexto"/>
        <xdr:cNvSpPr txBox="1"/>
      </xdr:nvSpPr>
      <xdr:spPr bwMode="auto">
        <a:xfrm>
          <a:off x="4513493" y="8939894"/>
          <a:ext cx="3672714" cy="1128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13</xdr:col>
      <xdr:colOff>476250</xdr:colOff>
      <xdr:row>27</xdr:row>
      <xdr:rowOff>0</xdr:rowOff>
    </xdr:from>
    <xdr:to>
      <xdr:col>18</xdr:col>
      <xdr:colOff>5587</xdr:colOff>
      <xdr:row>33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9420225" y="8924925"/>
          <a:ext cx="2891662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169334</xdr:colOff>
      <xdr:row>0</xdr:row>
      <xdr:rowOff>63498</xdr:rowOff>
    </xdr:from>
    <xdr:to>
      <xdr:col>1</xdr:col>
      <xdr:colOff>742884</xdr:colOff>
      <xdr:row>2</xdr:row>
      <xdr:rowOff>253996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63498"/>
          <a:ext cx="925975" cy="828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60306</xdr:colOff>
      <xdr:row>0</xdr:row>
      <xdr:rowOff>19050</xdr:rowOff>
    </xdr:from>
    <xdr:to>
      <xdr:col>16</xdr:col>
      <xdr:colOff>442364</xdr:colOff>
      <xdr:row>2</xdr:row>
      <xdr:rowOff>190500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47331" y="19050"/>
          <a:ext cx="1112308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36739</xdr:colOff>
      <xdr:row>22</xdr:row>
      <xdr:rowOff>9525</xdr:rowOff>
    </xdr:from>
    <xdr:to>
      <xdr:col>4</xdr:col>
      <xdr:colOff>42334</xdr:colOff>
      <xdr:row>28</xdr:row>
      <xdr:rowOff>21167</xdr:rowOff>
    </xdr:to>
    <xdr:sp macro="" textlink="">
      <xdr:nvSpPr>
        <xdr:cNvPr id="3" name="2 CuadroTexto"/>
        <xdr:cNvSpPr txBox="1"/>
      </xdr:nvSpPr>
      <xdr:spPr bwMode="auto">
        <a:xfrm>
          <a:off x="36739" y="7829550"/>
          <a:ext cx="3101220" cy="11546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6</xdr:col>
      <xdr:colOff>201083</xdr:colOff>
      <xdr:row>22</xdr:row>
      <xdr:rowOff>14968</xdr:rowOff>
    </xdr:from>
    <xdr:to>
      <xdr:col>11</xdr:col>
      <xdr:colOff>592667</xdr:colOff>
      <xdr:row>27</xdr:row>
      <xdr:rowOff>179917</xdr:rowOff>
    </xdr:to>
    <xdr:sp macro="" textlink="">
      <xdr:nvSpPr>
        <xdr:cNvPr id="4" name="3 CuadroTexto"/>
        <xdr:cNvSpPr txBox="1"/>
      </xdr:nvSpPr>
      <xdr:spPr bwMode="auto">
        <a:xfrm>
          <a:off x="4515908" y="7834993"/>
          <a:ext cx="3639609" cy="11174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13</xdr:col>
      <xdr:colOff>455084</xdr:colOff>
      <xdr:row>22</xdr:row>
      <xdr:rowOff>1</xdr:rowOff>
    </xdr:from>
    <xdr:to>
      <xdr:col>17</xdr:col>
      <xdr:colOff>508000</xdr:colOff>
      <xdr:row>28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9522884" y="7820026"/>
          <a:ext cx="2653241" cy="114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179915</xdr:colOff>
      <xdr:row>0</xdr:row>
      <xdr:rowOff>52917</xdr:rowOff>
    </xdr:from>
    <xdr:to>
      <xdr:col>1</xdr:col>
      <xdr:colOff>753465</xdr:colOff>
      <xdr:row>2</xdr:row>
      <xdr:rowOff>243415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5" y="52917"/>
          <a:ext cx="925975" cy="828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2</xdr:row>
      <xdr:rowOff>238125</xdr:rowOff>
    </xdr:to>
    <xdr:pic>
      <xdr:nvPicPr>
        <xdr:cNvPr id="2" name="Picture 7" descr="logo_SEP_B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621" t="6300" r="8621" b="6548"/>
        <a:stretch>
          <a:fillRect/>
        </a:stretch>
      </xdr:blipFill>
      <xdr:spPr bwMode="auto">
        <a:xfrm>
          <a:off x="47625" y="38100"/>
          <a:ext cx="971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114300</xdr:colOff>
      <xdr:row>0</xdr:row>
      <xdr:rowOff>38100</xdr:rowOff>
    </xdr:from>
    <xdr:to>
      <xdr:col>17</xdr:col>
      <xdr:colOff>485775</xdr:colOff>
      <xdr:row>2</xdr:row>
      <xdr:rowOff>209550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753725" y="38100"/>
          <a:ext cx="1114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2</xdr:row>
      <xdr:rowOff>238125</xdr:rowOff>
    </xdr:to>
    <xdr:pic>
      <xdr:nvPicPr>
        <xdr:cNvPr id="2" name="Picture 7" descr="logo_SEP_B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621" t="6300" r="8621" b="6548"/>
        <a:stretch>
          <a:fillRect/>
        </a:stretch>
      </xdr:blipFill>
      <xdr:spPr bwMode="auto">
        <a:xfrm>
          <a:off x="47625" y="38100"/>
          <a:ext cx="971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85725</xdr:colOff>
      <xdr:row>0</xdr:row>
      <xdr:rowOff>57150</xdr:rowOff>
    </xdr:from>
    <xdr:to>
      <xdr:col>17</xdr:col>
      <xdr:colOff>457200</xdr:colOff>
      <xdr:row>2</xdr:row>
      <xdr:rowOff>228600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725150" y="57150"/>
          <a:ext cx="11144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621226</xdr:colOff>
      <xdr:row>0</xdr:row>
      <xdr:rowOff>57150</xdr:rowOff>
    </xdr:from>
    <xdr:to>
      <xdr:col>15</xdr:col>
      <xdr:colOff>305843</xdr:colOff>
      <xdr:row>2</xdr:row>
      <xdr:rowOff>228600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15559" y="57150"/>
          <a:ext cx="1113367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36738</xdr:colOff>
      <xdr:row>27</xdr:row>
      <xdr:rowOff>9525</xdr:rowOff>
    </xdr:from>
    <xdr:to>
      <xdr:col>3</xdr:col>
      <xdr:colOff>285750</xdr:colOff>
      <xdr:row>32</xdr:row>
      <xdr:rowOff>169333</xdr:rowOff>
    </xdr:to>
    <xdr:sp macro="" textlink="">
      <xdr:nvSpPr>
        <xdr:cNvPr id="13" name="12 CuadroTexto"/>
        <xdr:cNvSpPr txBox="1"/>
      </xdr:nvSpPr>
      <xdr:spPr bwMode="auto">
        <a:xfrm>
          <a:off x="36738" y="9280525"/>
          <a:ext cx="3222929" cy="1112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5</xdr:col>
      <xdr:colOff>312968</xdr:colOff>
      <xdr:row>27</xdr:row>
      <xdr:rowOff>14969</xdr:rowOff>
    </xdr:from>
    <xdr:to>
      <xdr:col>11</xdr:col>
      <xdr:colOff>42332</xdr:colOff>
      <xdr:row>33</xdr:row>
      <xdr:rowOff>1</xdr:rowOff>
    </xdr:to>
    <xdr:sp macro="" textlink="">
      <xdr:nvSpPr>
        <xdr:cNvPr id="14" name="13 CuadroTexto"/>
        <xdr:cNvSpPr txBox="1"/>
      </xdr:nvSpPr>
      <xdr:spPr bwMode="auto">
        <a:xfrm>
          <a:off x="4503968" y="9285969"/>
          <a:ext cx="3676947" cy="1128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12</xdr:col>
      <xdr:colOff>476250</xdr:colOff>
      <xdr:row>27</xdr:row>
      <xdr:rowOff>0</xdr:rowOff>
    </xdr:from>
    <xdr:to>
      <xdr:col>17</xdr:col>
      <xdr:colOff>5587</xdr:colOff>
      <xdr:row>33</xdr:row>
      <xdr:rowOff>1</xdr:rowOff>
    </xdr:to>
    <xdr:sp macro="" textlink="">
      <xdr:nvSpPr>
        <xdr:cNvPr id="15" name="14 CuadroTexto"/>
        <xdr:cNvSpPr txBox="1"/>
      </xdr:nvSpPr>
      <xdr:spPr bwMode="auto">
        <a:xfrm>
          <a:off x="9419167" y="9269943"/>
          <a:ext cx="2841920" cy="1144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169334</xdr:colOff>
      <xdr:row>0</xdr:row>
      <xdr:rowOff>63498</xdr:rowOff>
    </xdr:from>
    <xdr:to>
      <xdr:col>1</xdr:col>
      <xdr:colOff>742884</xdr:colOff>
      <xdr:row>2</xdr:row>
      <xdr:rowOff>253996</xdr:rowOff>
    </xdr:to>
    <xdr:pic>
      <xdr:nvPicPr>
        <xdr:cNvPr id="7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63498"/>
          <a:ext cx="922800" cy="825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2</xdr:row>
      <xdr:rowOff>238125</xdr:rowOff>
    </xdr:to>
    <xdr:pic>
      <xdr:nvPicPr>
        <xdr:cNvPr id="2" name="Picture 7" descr="logo_SEP_B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621" t="6300" r="8621" b="6548"/>
        <a:stretch>
          <a:fillRect/>
        </a:stretch>
      </xdr:blipFill>
      <xdr:spPr bwMode="auto">
        <a:xfrm>
          <a:off x="47625" y="38100"/>
          <a:ext cx="971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0</xdr:row>
      <xdr:rowOff>28575</xdr:rowOff>
    </xdr:from>
    <xdr:to>
      <xdr:col>17</xdr:col>
      <xdr:colOff>504825</xdr:colOff>
      <xdr:row>2</xdr:row>
      <xdr:rowOff>200025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982325" y="28575"/>
          <a:ext cx="1104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</xdr:col>
      <xdr:colOff>666750</xdr:colOff>
      <xdr:row>2</xdr:row>
      <xdr:rowOff>238125</xdr:rowOff>
    </xdr:to>
    <xdr:pic>
      <xdr:nvPicPr>
        <xdr:cNvPr id="2" name="Picture 7" descr="logo_SEP_BUEN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8621" t="6300" r="8621" b="6548"/>
        <a:stretch>
          <a:fillRect/>
        </a:stretch>
      </xdr:blipFill>
      <xdr:spPr bwMode="auto">
        <a:xfrm>
          <a:off x="47625" y="38100"/>
          <a:ext cx="9715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152400</xdr:colOff>
      <xdr:row>0</xdr:row>
      <xdr:rowOff>19050</xdr:rowOff>
    </xdr:from>
    <xdr:to>
      <xdr:col>17</xdr:col>
      <xdr:colOff>504824</xdr:colOff>
      <xdr:row>2</xdr:row>
      <xdr:rowOff>190500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763250" y="19050"/>
          <a:ext cx="1104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60306</xdr:colOff>
      <xdr:row>0</xdr:row>
      <xdr:rowOff>19050</xdr:rowOff>
    </xdr:from>
    <xdr:to>
      <xdr:col>15</xdr:col>
      <xdr:colOff>601114</xdr:colOff>
      <xdr:row>2</xdr:row>
      <xdr:rowOff>190500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89639" y="19050"/>
          <a:ext cx="1112308" cy="80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36739</xdr:colOff>
      <xdr:row>21</xdr:row>
      <xdr:rowOff>9525</xdr:rowOff>
    </xdr:from>
    <xdr:to>
      <xdr:col>3</xdr:col>
      <xdr:colOff>42334</xdr:colOff>
      <xdr:row>27</xdr:row>
      <xdr:rowOff>21167</xdr:rowOff>
    </xdr:to>
    <xdr:sp macro="" textlink="">
      <xdr:nvSpPr>
        <xdr:cNvPr id="4" name="3 CuadroTexto"/>
        <xdr:cNvSpPr txBox="1"/>
      </xdr:nvSpPr>
      <xdr:spPr bwMode="auto">
        <a:xfrm>
          <a:off x="36739" y="8211608"/>
          <a:ext cx="3095928" cy="11546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5</xdr:col>
      <xdr:colOff>201083</xdr:colOff>
      <xdr:row>21</xdr:row>
      <xdr:rowOff>14968</xdr:rowOff>
    </xdr:from>
    <xdr:to>
      <xdr:col>10</xdr:col>
      <xdr:colOff>592667</xdr:colOff>
      <xdr:row>26</xdr:row>
      <xdr:rowOff>179917</xdr:rowOff>
    </xdr:to>
    <xdr:sp macro="" textlink="">
      <xdr:nvSpPr>
        <xdr:cNvPr id="5" name="4 CuadroTexto"/>
        <xdr:cNvSpPr txBox="1"/>
      </xdr:nvSpPr>
      <xdr:spPr bwMode="auto">
        <a:xfrm>
          <a:off x="4508500" y="8217051"/>
          <a:ext cx="3481917" cy="11174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12</xdr:col>
      <xdr:colOff>455084</xdr:colOff>
      <xdr:row>21</xdr:row>
      <xdr:rowOff>1</xdr:rowOff>
    </xdr:from>
    <xdr:to>
      <xdr:col>16</xdr:col>
      <xdr:colOff>508000</xdr:colOff>
      <xdr:row>27</xdr:row>
      <xdr:rowOff>1</xdr:rowOff>
    </xdr:to>
    <xdr:sp macro="" textlink="">
      <xdr:nvSpPr>
        <xdr:cNvPr id="6" name="5 CuadroTexto"/>
        <xdr:cNvSpPr txBox="1"/>
      </xdr:nvSpPr>
      <xdr:spPr bwMode="auto">
        <a:xfrm>
          <a:off x="9366251" y="8202084"/>
          <a:ext cx="2656416" cy="114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169332</xdr:colOff>
      <xdr:row>0</xdr:row>
      <xdr:rowOff>42334</xdr:rowOff>
    </xdr:from>
    <xdr:to>
      <xdr:col>1</xdr:col>
      <xdr:colOff>742882</xdr:colOff>
      <xdr:row>2</xdr:row>
      <xdr:rowOff>232832</xdr:rowOff>
    </xdr:to>
    <xdr:pic>
      <xdr:nvPicPr>
        <xdr:cNvPr id="7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2" y="42334"/>
          <a:ext cx="922800" cy="825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225425</xdr:colOff>
      <xdr:row>1</xdr:row>
      <xdr:rowOff>10583</xdr:rowOff>
    </xdr:from>
    <xdr:to>
      <xdr:col>21</xdr:col>
      <xdr:colOff>590550</xdr:colOff>
      <xdr:row>3</xdr:row>
      <xdr:rowOff>174623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</a:blip>
        <a:srcRect/>
        <a:stretch>
          <a:fillRect/>
        </a:stretch>
      </xdr:blipFill>
      <xdr:spPr bwMode="auto">
        <a:xfrm>
          <a:off x="9718675" y="158750"/>
          <a:ext cx="1180042" cy="799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70908</xdr:colOff>
      <xdr:row>1</xdr:row>
      <xdr:rowOff>57150</xdr:rowOff>
    </xdr:from>
    <xdr:to>
      <xdr:col>1</xdr:col>
      <xdr:colOff>537817</xdr:colOff>
      <xdr:row>3</xdr:row>
      <xdr:rowOff>190498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08" y="200025"/>
          <a:ext cx="857434" cy="761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21161</xdr:colOff>
      <xdr:row>35</xdr:row>
      <xdr:rowOff>13749</xdr:rowOff>
    </xdr:from>
    <xdr:to>
      <xdr:col>1</xdr:col>
      <xdr:colOff>2635251</xdr:colOff>
      <xdr:row>43</xdr:row>
      <xdr:rowOff>95242</xdr:rowOff>
    </xdr:to>
    <xdr:sp macro="" textlink="">
      <xdr:nvSpPr>
        <xdr:cNvPr id="10" name="9 CuadroTexto"/>
        <xdr:cNvSpPr txBox="1"/>
      </xdr:nvSpPr>
      <xdr:spPr bwMode="auto">
        <a:xfrm>
          <a:off x="412744" y="11486082"/>
          <a:ext cx="2614090" cy="1605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_______________________________</a:t>
          </a:r>
          <a:endParaRPr lang="es-MX" sz="1200">
            <a:effectLst/>
          </a:endParaRP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Mtra. Norma Ivonne Luna Campos</a:t>
          </a:r>
          <a:endParaRPr lang="es-MX" sz="1200">
            <a:effectLst/>
          </a:endParaRPr>
        </a:p>
        <a:p>
          <a:pPr algn="ctr"/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Directora de Planeación y Evaluación </a:t>
          </a:r>
          <a:endParaRPr lang="es-MX" sz="1200">
            <a:effectLst/>
          </a:endParaRPr>
        </a:p>
      </xdr:txBody>
    </xdr:sp>
    <xdr:clientData/>
  </xdr:twoCellAnchor>
  <xdr:twoCellAnchor>
    <xdr:from>
      <xdr:col>3</xdr:col>
      <xdr:colOff>539704</xdr:colOff>
      <xdr:row>34</xdr:row>
      <xdr:rowOff>170539</xdr:rowOff>
    </xdr:from>
    <xdr:to>
      <xdr:col>11</xdr:col>
      <xdr:colOff>317500</xdr:colOff>
      <xdr:row>42</xdr:row>
      <xdr:rowOff>85719</xdr:rowOff>
    </xdr:to>
    <xdr:sp macro="" textlink="">
      <xdr:nvSpPr>
        <xdr:cNvPr id="11" name="10 CuadroTexto"/>
        <xdr:cNvSpPr txBox="1"/>
      </xdr:nvSpPr>
      <xdr:spPr bwMode="auto">
        <a:xfrm>
          <a:off x="5005871" y="11452372"/>
          <a:ext cx="2857546" cy="14391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___________________________________</a:t>
          </a:r>
          <a:endParaRPr lang="es-MX">
            <a:effectLst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José J. Cortés Skewes</a:t>
          </a:r>
          <a:endParaRPr lang="es-MX">
            <a:effectLst/>
          </a:endParaRPr>
        </a:p>
        <a:p>
          <a:pPr algn="ctr"/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Director</a:t>
          </a:r>
          <a:r>
            <a:rPr lang="es-MX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MX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Administración y  Finanzas</a:t>
          </a:r>
          <a:endParaRPr lang="es-MX">
            <a:effectLst/>
          </a:endParaRPr>
        </a:p>
      </xdr:txBody>
    </xdr:sp>
    <xdr:clientData/>
  </xdr:twoCellAnchor>
  <xdr:twoCellAnchor>
    <xdr:from>
      <xdr:col>18</xdr:col>
      <xdr:colOff>190503</xdr:colOff>
      <xdr:row>34</xdr:row>
      <xdr:rowOff>170391</xdr:rowOff>
    </xdr:from>
    <xdr:to>
      <xdr:col>21</xdr:col>
      <xdr:colOff>687919</xdr:colOff>
      <xdr:row>43</xdr:row>
      <xdr:rowOff>10584</xdr:rowOff>
    </xdr:to>
    <xdr:sp macro="" textlink="">
      <xdr:nvSpPr>
        <xdr:cNvPr id="12" name="11 CuadroTexto"/>
        <xdr:cNvSpPr txBox="1"/>
      </xdr:nvSpPr>
      <xdr:spPr bwMode="auto">
        <a:xfrm>
          <a:off x="10160003" y="11452224"/>
          <a:ext cx="2677583" cy="15546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600" b="1">
            <a:latin typeface="Arial" pitchFamily="34" charset="0"/>
            <a:cs typeface="Arial" pitchFamily="34" charset="0"/>
          </a:endParaRPr>
        </a:p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Dr. Luis Téllez Reyes</a:t>
          </a:r>
          <a:endParaRPr lang="es-MX">
            <a:effectLst/>
          </a:endParaRPr>
        </a:p>
        <a:p>
          <a:pPr algn="ctr"/>
          <a:r>
            <a:rPr lang="es-MX" sz="1100" b="0">
              <a:latin typeface="Calibri" pitchFamily="34" charset="0"/>
              <a:cs typeface="Arial" pitchFamily="34" charset="0"/>
            </a:rPr>
            <a:t>R</a:t>
          </a:r>
          <a:r>
            <a:rPr lang="es-MX" sz="1100" b="0" baseline="0">
              <a:latin typeface="Calibri" pitchFamily="34" charset="0"/>
              <a:cs typeface="Arial" pitchFamily="34" charset="0"/>
            </a:rPr>
            <a:t>ector</a:t>
          </a:r>
          <a:endParaRPr lang="es-MX" sz="1100" b="0">
            <a:latin typeface="Calibri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621226</xdr:colOff>
      <xdr:row>0</xdr:row>
      <xdr:rowOff>57150</xdr:rowOff>
    </xdr:from>
    <xdr:to>
      <xdr:col>22</xdr:col>
      <xdr:colOff>343958</xdr:colOff>
      <xdr:row>2</xdr:row>
      <xdr:rowOff>228600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355776" y="57150"/>
          <a:ext cx="1113367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36738</xdr:colOff>
      <xdr:row>34</xdr:row>
      <xdr:rowOff>9525</xdr:rowOff>
    </xdr:from>
    <xdr:to>
      <xdr:col>5</xdr:col>
      <xdr:colOff>285750</xdr:colOff>
      <xdr:row>39</xdr:row>
      <xdr:rowOff>169333</xdr:rowOff>
    </xdr:to>
    <xdr:sp macro="" textlink="">
      <xdr:nvSpPr>
        <xdr:cNvPr id="3" name="2 CuadroTexto"/>
        <xdr:cNvSpPr txBox="1"/>
      </xdr:nvSpPr>
      <xdr:spPr bwMode="auto">
        <a:xfrm>
          <a:off x="36738" y="8934450"/>
          <a:ext cx="3230337" cy="1112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0">
              <a:latin typeface="Arial" pitchFamily="34" charset="0"/>
              <a:cs typeface="Arial" pitchFamily="34" charset="0"/>
            </a:rPr>
            <a:t>__________________________________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7</xdr:col>
      <xdr:colOff>312968</xdr:colOff>
      <xdr:row>34</xdr:row>
      <xdr:rowOff>14969</xdr:rowOff>
    </xdr:from>
    <xdr:to>
      <xdr:col>15</xdr:col>
      <xdr:colOff>42332</xdr:colOff>
      <xdr:row>40</xdr:row>
      <xdr:rowOff>1</xdr:rowOff>
    </xdr:to>
    <xdr:sp macro="" textlink="">
      <xdr:nvSpPr>
        <xdr:cNvPr id="4" name="3 CuadroTexto"/>
        <xdr:cNvSpPr txBox="1"/>
      </xdr:nvSpPr>
      <xdr:spPr bwMode="auto">
        <a:xfrm>
          <a:off x="4513493" y="8939894"/>
          <a:ext cx="3672714" cy="1128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________________________________________________</a:t>
          </a:r>
          <a:endParaRPr lang="es-MX" sz="1200" b="0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16</xdr:col>
      <xdr:colOff>476250</xdr:colOff>
      <xdr:row>34</xdr:row>
      <xdr:rowOff>0</xdr:rowOff>
    </xdr:from>
    <xdr:to>
      <xdr:col>21</xdr:col>
      <xdr:colOff>5587</xdr:colOff>
      <xdr:row>40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9420225" y="8924925"/>
          <a:ext cx="2891662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0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en C. Leodan Portes Vargas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</a:t>
          </a:r>
        </a:p>
      </xdr:txBody>
    </xdr:sp>
    <xdr:clientData/>
  </xdr:twoCellAnchor>
  <xdr:twoCellAnchor>
    <xdr:from>
      <xdr:col>1</xdr:col>
      <xdr:colOff>169334</xdr:colOff>
      <xdr:row>0</xdr:row>
      <xdr:rowOff>63498</xdr:rowOff>
    </xdr:from>
    <xdr:to>
      <xdr:col>2</xdr:col>
      <xdr:colOff>742884</xdr:colOff>
      <xdr:row>2</xdr:row>
      <xdr:rowOff>253996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4" y="63498"/>
          <a:ext cx="925975" cy="828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752475</xdr:colOff>
      <xdr:row>5</xdr:row>
      <xdr:rowOff>142875</xdr:rowOff>
    </xdr:from>
    <xdr:to>
      <xdr:col>15</xdr:col>
      <xdr:colOff>923925</xdr:colOff>
      <xdr:row>5</xdr:row>
      <xdr:rowOff>328613</xdr:rowOff>
    </xdr:to>
    <xdr:sp macro="" textlink="">
      <xdr:nvSpPr>
        <xdr:cNvPr id="7" name="6 CuadroTexto"/>
        <xdr:cNvSpPr txBox="1"/>
      </xdr:nvSpPr>
      <xdr:spPr>
        <a:xfrm>
          <a:off x="11515725" y="1438275"/>
          <a:ext cx="171450" cy="185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n>
                <a:noFill/>
              </a:ln>
              <a:solidFill>
                <a:sysClr val="windowText" lastClr="000000"/>
              </a:solidFill>
            </a:rPr>
            <a:t>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60306</xdr:colOff>
      <xdr:row>0</xdr:row>
      <xdr:rowOff>19050</xdr:rowOff>
    </xdr:from>
    <xdr:to>
      <xdr:col>22</xdr:col>
      <xdr:colOff>351632</xdr:colOff>
      <xdr:row>2</xdr:row>
      <xdr:rowOff>190500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547331" y="19050"/>
          <a:ext cx="1112308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36739</xdr:colOff>
      <xdr:row>26</xdr:row>
      <xdr:rowOff>9525</xdr:rowOff>
    </xdr:from>
    <xdr:to>
      <xdr:col>5</xdr:col>
      <xdr:colOff>42334</xdr:colOff>
      <xdr:row>32</xdr:row>
      <xdr:rowOff>21167</xdr:rowOff>
    </xdr:to>
    <xdr:sp macro="" textlink="">
      <xdr:nvSpPr>
        <xdr:cNvPr id="3" name="2 CuadroTexto"/>
        <xdr:cNvSpPr txBox="1"/>
      </xdr:nvSpPr>
      <xdr:spPr bwMode="auto">
        <a:xfrm>
          <a:off x="36739" y="7829550"/>
          <a:ext cx="3101220" cy="11546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0">
              <a:latin typeface="Arial" pitchFamily="34" charset="0"/>
              <a:cs typeface="Arial" pitchFamily="34" charset="0"/>
            </a:rPr>
            <a:t>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Planeación y Evaluación </a:t>
          </a:r>
        </a:p>
      </xdr:txBody>
    </xdr:sp>
    <xdr:clientData/>
  </xdr:twoCellAnchor>
  <xdr:twoCellAnchor>
    <xdr:from>
      <xdr:col>7</xdr:col>
      <xdr:colOff>0</xdr:colOff>
      <xdr:row>26</xdr:row>
      <xdr:rowOff>14968</xdr:rowOff>
    </xdr:from>
    <xdr:to>
      <xdr:col>13</xdr:col>
      <xdr:colOff>495300</xdr:colOff>
      <xdr:row>31</xdr:row>
      <xdr:rowOff>179917</xdr:rowOff>
    </xdr:to>
    <xdr:sp macro="" textlink="">
      <xdr:nvSpPr>
        <xdr:cNvPr id="4" name="3 CuadroTexto"/>
        <xdr:cNvSpPr txBox="1"/>
      </xdr:nvSpPr>
      <xdr:spPr bwMode="auto">
        <a:xfrm>
          <a:off x="5248275" y="10025743"/>
          <a:ext cx="3219450" cy="11174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</a:t>
          </a:r>
          <a:endParaRPr lang="es-MX" sz="1200" b="0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Administración y  Finanzas</a:t>
          </a:r>
        </a:p>
      </xdr:txBody>
    </xdr:sp>
    <xdr:clientData/>
  </xdr:twoCellAnchor>
  <xdr:twoCellAnchor>
    <xdr:from>
      <xdr:col>16</xdr:col>
      <xdr:colOff>455084</xdr:colOff>
      <xdr:row>26</xdr:row>
      <xdr:rowOff>1</xdr:rowOff>
    </xdr:from>
    <xdr:to>
      <xdr:col>20</xdr:col>
      <xdr:colOff>508000</xdr:colOff>
      <xdr:row>32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9522884" y="7820026"/>
          <a:ext cx="2653241" cy="114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0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0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en C. Leodan Portes Vargas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</a:t>
          </a:r>
        </a:p>
      </xdr:txBody>
    </xdr:sp>
    <xdr:clientData/>
  </xdr:twoCellAnchor>
  <xdr:twoCellAnchor>
    <xdr:from>
      <xdr:col>1</xdr:col>
      <xdr:colOff>179915</xdr:colOff>
      <xdr:row>0</xdr:row>
      <xdr:rowOff>52917</xdr:rowOff>
    </xdr:from>
    <xdr:to>
      <xdr:col>2</xdr:col>
      <xdr:colOff>753465</xdr:colOff>
      <xdr:row>2</xdr:row>
      <xdr:rowOff>243415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915" y="52917"/>
          <a:ext cx="925975" cy="828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762000</xdr:colOff>
      <xdr:row>5</xdr:row>
      <xdr:rowOff>142875</xdr:rowOff>
    </xdr:from>
    <xdr:to>
      <xdr:col>15</xdr:col>
      <xdr:colOff>933450</xdr:colOff>
      <xdr:row>5</xdr:row>
      <xdr:rowOff>328613</xdr:rowOff>
    </xdr:to>
    <xdr:sp macro="" textlink="">
      <xdr:nvSpPr>
        <xdr:cNvPr id="7" name="6 CuadroTexto"/>
        <xdr:cNvSpPr txBox="1"/>
      </xdr:nvSpPr>
      <xdr:spPr>
        <a:xfrm>
          <a:off x="13687425" y="1438275"/>
          <a:ext cx="171450" cy="185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000">
              <a:ln>
                <a:noFill/>
              </a:ln>
              <a:solidFill>
                <a:sysClr val="windowText" lastClr="000000"/>
              </a:solidFill>
            </a:rPr>
            <a:t>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21159</xdr:colOff>
      <xdr:row>0</xdr:row>
      <xdr:rowOff>63501</xdr:rowOff>
    </xdr:from>
    <xdr:to>
      <xdr:col>17</xdr:col>
      <xdr:colOff>166531</xdr:colOff>
      <xdr:row>3</xdr:row>
      <xdr:rowOff>84666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12000"/>
        </a:blip>
        <a:srcRect/>
        <a:stretch>
          <a:fillRect/>
        </a:stretch>
      </xdr:blipFill>
      <xdr:spPr bwMode="auto">
        <a:xfrm>
          <a:off x="11527359" y="63501"/>
          <a:ext cx="1184656" cy="792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36739</xdr:colOff>
      <xdr:row>32</xdr:row>
      <xdr:rowOff>9525</xdr:rowOff>
    </xdr:from>
    <xdr:to>
      <xdr:col>2</xdr:col>
      <xdr:colOff>379639</xdr:colOff>
      <xdr:row>37</xdr:row>
      <xdr:rowOff>179917</xdr:rowOff>
    </xdr:to>
    <xdr:sp macro="" textlink="">
      <xdr:nvSpPr>
        <xdr:cNvPr id="3" name="2 CuadroTexto"/>
        <xdr:cNvSpPr txBox="1"/>
      </xdr:nvSpPr>
      <xdr:spPr bwMode="auto">
        <a:xfrm>
          <a:off x="36739" y="9448800"/>
          <a:ext cx="2990850" cy="11228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Lic. Norma Ivonne Luna Campos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 de </a:t>
          </a:r>
          <a:r>
            <a:rPr lang="es-MX" sz="1050" b="0" baseline="0">
              <a:latin typeface="Arial" pitchFamily="34" charset="0"/>
              <a:cs typeface="Arial" pitchFamily="34" charset="0"/>
            </a:rPr>
            <a:t>Planeación y Evaluación </a:t>
          </a:r>
          <a:endParaRPr lang="es-MX" sz="105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312969</xdr:colOff>
      <xdr:row>32</xdr:row>
      <xdr:rowOff>14969</xdr:rowOff>
    </xdr:from>
    <xdr:to>
      <xdr:col>11</xdr:col>
      <xdr:colOff>272147</xdr:colOff>
      <xdr:row>38</xdr:row>
      <xdr:rowOff>10585</xdr:rowOff>
    </xdr:to>
    <xdr:sp macro="" textlink="">
      <xdr:nvSpPr>
        <xdr:cNvPr id="4" name="3 CuadroTexto"/>
        <xdr:cNvSpPr txBox="1"/>
      </xdr:nvSpPr>
      <xdr:spPr bwMode="auto">
        <a:xfrm>
          <a:off x="5313594" y="9454244"/>
          <a:ext cx="3340553" cy="11386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Araceli Hernández Chávez</a:t>
          </a: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Directora</a:t>
          </a:r>
          <a:r>
            <a:rPr lang="es-MX" sz="1050" b="0" baseline="0">
              <a:latin typeface="Arial" pitchFamily="34" charset="0"/>
              <a:cs typeface="Arial" pitchFamily="34" charset="0"/>
            </a:rPr>
            <a:t> de Administración y  Finanzas</a:t>
          </a:r>
          <a:endParaRPr lang="es-MX" sz="1050" b="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639528</xdr:colOff>
      <xdr:row>32</xdr:row>
      <xdr:rowOff>0</xdr:rowOff>
    </xdr:from>
    <xdr:to>
      <xdr:col>17</xdr:col>
      <xdr:colOff>671278</xdr:colOff>
      <xdr:row>38</xdr:row>
      <xdr:rowOff>1</xdr:rowOff>
    </xdr:to>
    <xdr:sp macro="" textlink="">
      <xdr:nvSpPr>
        <xdr:cNvPr id="5" name="4 CuadroTexto"/>
        <xdr:cNvSpPr txBox="1"/>
      </xdr:nvSpPr>
      <xdr:spPr bwMode="auto">
        <a:xfrm>
          <a:off x="10650303" y="9439275"/>
          <a:ext cx="2784475" cy="11430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Autorizó </a:t>
          </a: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solidFill>
                <a:schemeClr val="tx1"/>
              </a:solidFill>
              <a:latin typeface="+mn-lt"/>
              <a:ea typeface="+mn-ea"/>
              <a:cs typeface="+mn-cs"/>
            </a:rPr>
            <a:t>________________________________</a:t>
          </a:r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Mtra. Alicia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Grande Olguín</a:t>
          </a:r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0">
              <a:latin typeface="Arial" pitchFamily="34" charset="0"/>
              <a:cs typeface="Arial" pitchFamily="34" charset="0"/>
            </a:rPr>
            <a:t>Rectora</a:t>
          </a:r>
        </a:p>
      </xdr:txBody>
    </xdr:sp>
    <xdr:clientData/>
  </xdr:twoCellAnchor>
  <xdr:twoCellAnchor>
    <xdr:from>
      <xdr:col>0</xdr:col>
      <xdr:colOff>251883</xdr:colOff>
      <xdr:row>1</xdr:row>
      <xdr:rowOff>0</xdr:rowOff>
    </xdr:from>
    <xdr:to>
      <xdr:col>1</xdr:col>
      <xdr:colOff>783100</xdr:colOff>
      <xdr:row>3</xdr:row>
      <xdr:rowOff>190498</xdr:rowOff>
    </xdr:to>
    <xdr:pic>
      <xdr:nvPicPr>
        <xdr:cNvPr id="6" name="Imagen 1" descr="HIDALGO TDT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883" y="142875"/>
          <a:ext cx="921742" cy="819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1"/>
  <sheetViews>
    <sheetView topLeftCell="C13" zoomScale="90" zoomScaleNormal="90" workbookViewId="0">
      <selection activeCell="L10" sqref="L10"/>
    </sheetView>
  </sheetViews>
  <sheetFormatPr baseColWidth="10" defaultRowHeight="11.25" x14ac:dyDescent="0.2"/>
  <cols>
    <col min="1" max="1" width="5.85546875" style="4" customWidth="1"/>
    <col min="2" max="2" width="33.85546875" style="21" customWidth="1"/>
    <col min="3" max="3" width="18.7109375" style="3" customWidth="1"/>
    <col min="4" max="4" width="7.28515625" style="3" bestFit="1" customWidth="1"/>
    <col min="5" max="5" width="9.28515625" style="3" bestFit="1" customWidth="1"/>
    <col min="6" max="6" width="12.42578125" style="3" bestFit="1" customWidth="1"/>
    <col min="7" max="7" width="10.5703125" style="3" bestFit="1" customWidth="1"/>
    <col min="8" max="8" width="4.5703125" style="3" customWidth="1"/>
    <col min="9" max="9" width="10.5703125" style="3" customWidth="1"/>
    <col min="10" max="10" width="12.5703125" style="3" bestFit="1" customWidth="1"/>
    <col min="11" max="11" width="11.7109375" style="3" bestFit="1" customWidth="1"/>
    <col min="12" max="12" width="12.7109375" style="3" bestFit="1" customWidth="1"/>
    <col min="13" max="13" width="11.7109375" style="3" bestFit="1" customWidth="1"/>
    <col min="14" max="14" width="10.7109375" style="3" customWidth="1"/>
    <col min="15" max="15" width="9.7109375" style="3" customWidth="1"/>
    <col min="16" max="16" width="9.140625" style="93" bestFit="1" customWidth="1"/>
    <col min="17" max="17" width="10.28515625" style="3" bestFit="1" customWidth="1"/>
    <col min="18" max="16384" width="11.42578125" style="3"/>
  </cols>
  <sheetData>
    <row r="2" spans="1:17" ht="24.75" customHeight="1" x14ac:dyDescent="0.25">
      <c r="A2" s="209" t="s">
        <v>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24.75" customHeight="1" x14ac:dyDescent="0.25">
      <c r="A3" s="210" t="s">
        <v>114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17" ht="15.75" x14ac:dyDescent="0.25">
      <c r="A4" s="211" t="s">
        <v>79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spans="1:17" ht="11.25" customHeight="1" x14ac:dyDescent="0.2">
      <c r="B5" s="5"/>
      <c r="H5" s="6"/>
      <c r="I5" s="6"/>
      <c r="J5" s="6"/>
      <c r="K5" s="6"/>
      <c r="L5" s="6"/>
      <c r="M5" s="6"/>
      <c r="N5" s="6"/>
    </row>
    <row r="6" spans="1:17" s="85" customFormat="1" ht="26.25" customHeight="1" x14ac:dyDescent="0.2">
      <c r="A6" s="213" t="s">
        <v>23</v>
      </c>
      <c r="B6" s="219" t="s">
        <v>105</v>
      </c>
      <c r="C6" s="212" t="s">
        <v>106</v>
      </c>
      <c r="D6" s="212" t="s">
        <v>26</v>
      </c>
      <c r="E6" s="212"/>
      <c r="F6" s="212"/>
      <c r="G6" s="212"/>
      <c r="H6" s="212"/>
      <c r="I6" s="212" t="s">
        <v>107</v>
      </c>
      <c r="J6" s="212"/>
      <c r="K6" s="212"/>
      <c r="L6" s="212"/>
      <c r="M6" s="212"/>
      <c r="N6" s="212"/>
      <c r="O6" s="212"/>
      <c r="P6" s="212"/>
      <c r="Q6" s="212" t="s">
        <v>109</v>
      </c>
    </row>
    <row r="7" spans="1:17" s="85" customFormat="1" ht="11.25" customHeight="1" x14ac:dyDescent="0.2">
      <c r="A7" s="213"/>
      <c r="B7" s="219"/>
      <c r="C7" s="212"/>
      <c r="D7" s="212" t="s">
        <v>71</v>
      </c>
      <c r="E7" s="212" t="s">
        <v>108</v>
      </c>
      <c r="F7" s="212" t="s">
        <v>29</v>
      </c>
      <c r="G7" s="212" t="s">
        <v>30</v>
      </c>
      <c r="H7" s="212"/>
      <c r="I7" s="213" t="s">
        <v>31</v>
      </c>
      <c r="J7" s="213" t="s">
        <v>32</v>
      </c>
      <c r="K7" s="212" t="s">
        <v>33</v>
      </c>
      <c r="L7" s="213" t="s">
        <v>34</v>
      </c>
      <c r="M7" s="214" t="s">
        <v>110</v>
      </c>
      <c r="N7" s="216" t="s">
        <v>111</v>
      </c>
      <c r="O7" s="216" t="s">
        <v>112</v>
      </c>
      <c r="P7" s="216"/>
      <c r="Q7" s="212"/>
    </row>
    <row r="8" spans="1:17" s="85" customFormat="1" ht="23.25" customHeight="1" x14ac:dyDescent="0.2">
      <c r="A8" s="213"/>
      <c r="B8" s="213"/>
      <c r="C8" s="212"/>
      <c r="D8" s="212"/>
      <c r="E8" s="212"/>
      <c r="F8" s="212"/>
      <c r="G8" s="81" t="s">
        <v>40</v>
      </c>
      <c r="H8" s="81" t="s">
        <v>0</v>
      </c>
      <c r="I8" s="213"/>
      <c r="J8" s="213"/>
      <c r="K8" s="212"/>
      <c r="L8" s="213"/>
      <c r="M8" s="215"/>
      <c r="N8" s="216"/>
      <c r="O8" s="81" t="s">
        <v>41</v>
      </c>
      <c r="P8" s="94" t="s">
        <v>0</v>
      </c>
      <c r="Q8" s="212"/>
    </row>
    <row r="9" spans="1:17" s="13" customFormat="1" ht="27.75" customHeight="1" x14ac:dyDescent="0.25">
      <c r="A9" s="12">
        <v>1</v>
      </c>
      <c r="B9" s="2" t="s">
        <v>44</v>
      </c>
      <c r="C9" s="8" t="s">
        <v>86</v>
      </c>
      <c r="D9" s="1">
        <f>+'1 Subsidio Ene-Mar'!D8</f>
        <v>1031</v>
      </c>
      <c r="E9" s="1">
        <f>+'1 Subsidio Ene-Mar'!E8</f>
        <v>393</v>
      </c>
      <c r="F9" s="1">
        <f>+'1 Subsidio Ene-Mar'!F8</f>
        <v>393</v>
      </c>
      <c r="G9" s="10">
        <f>+E9-F9</f>
        <v>0</v>
      </c>
      <c r="H9" s="11">
        <f>+(E9/F9)-1</f>
        <v>0</v>
      </c>
      <c r="I9" s="9">
        <f>+'1 Subsidio Ene-Mar'!I8</f>
        <v>63064</v>
      </c>
      <c r="J9" s="9">
        <f>+'1 Subsidio Ene-Mar'!J8</f>
        <v>0</v>
      </c>
      <c r="K9" s="9">
        <f>+'1 Subsidio Ene-Mar'!K8</f>
        <v>0</v>
      </c>
      <c r="L9" s="9">
        <f>+'1 Subsidio Ene-Mar'!L8</f>
        <v>63064</v>
      </c>
      <c r="M9" s="9">
        <f>+'1 Subsidio Ene-Mar'!M8</f>
        <v>4534</v>
      </c>
      <c r="N9" s="9">
        <f>+'1 Subsidio Ene-Mar'!N8</f>
        <v>4374</v>
      </c>
      <c r="O9" s="9">
        <f>+'1 Subsidio Ene-Mar'!O8</f>
        <v>160</v>
      </c>
      <c r="P9" s="116">
        <f>+'1 Subsidio Ene-Mar'!P8</f>
        <v>3.5288928098809E-2</v>
      </c>
      <c r="Q9" s="15" t="s">
        <v>3</v>
      </c>
    </row>
    <row r="10" spans="1:17" s="13" customFormat="1" ht="27.75" customHeight="1" x14ac:dyDescent="0.25">
      <c r="A10" s="12">
        <f>+A9+1</f>
        <v>2</v>
      </c>
      <c r="B10" s="2" t="s">
        <v>45</v>
      </c>
      <c r="C10" s="8" t="s">
        <v>87</v>
      </c>
      <c r="D10" s="1">
        <f>+'1 Subsidio Ene-Mar'!D9</f>
        <v>8</v>
      </c>
      <c r="E10" s="1">
        <f>+'1 Subsidio Ene-Mar'!E9</f>
        <v>0</v>
      </c>
      <c r="F10" s="1">
        <f>+'1 Subsidio Ene-Mar'!F9</f>
        <v>0</v>
      </c>
      <c r="G10" s="10">
        <f t="shared" ref="G10:G27" si="0">+E10-F10</f>
        <v>0</v>
      </c>
      <c r="H10" s="11">
        <v>0</v>
      </c>
      <c r="I10" s="9">
        <f>+'1 Subsidio Ene-Mar'!I9</f>
        <v>138394</v>
      </c>
      <c r="J10" s="9">
        <f>+'1 Subsidio Ene-Mar'!J9</f>
        <v>0</v>
      </c>
      <c r="K10" s="9">
        <f>+'1 Subsidio Ene-Mar'!K9</f>
        <v>0</v>
      </c>
      <c r="L10" s="9">
        <f>+'1 Subsidio Ene-Mar'!L9</f>
        <v>138394</v>
      </c>
      <c r="M10" s="9">
        <f>+'1 Subsidio Ene-Mar'!M9</f>
        <v>21014</v>
      </c>
      <c r="N10" s="9">
        <f>+'1 Subsidio Ene-Mar'!N9</f>
        <v>13884</v>
      </c>
      <c r="O10" s="9">
        <f>+'1 Subsidio Ene-Mar'!O9</f>
        <v>7130</v>
      </c>
      <c r="P10" s="116">
        <f>+'1 Subsidio Ene-Mar'!P9</f>
        <v>0.33929761111639861</v>
      </c>
      <c r="Q10" s="15" t="s">
        <v>4</v>
      </c>
    </row>
    <row r="11" spans="1:17" s="13" customFormat="1" ht="27.75" customHeight="1" x14ac:dyDescent="0.25">
      <c r="A11" s="12">
        <f t="shared" ref="A11:A27" si="1">+A10+1</f>
        <v>3</v>
      </c>
      <c r="B11" s="2" t="s">
        <v>46</v>
      </c>
      <c r="C11" s="8" t="s">
        <v>125</v>
      </c>
      <c r="D11" s="1">
        <f>+'1 Subsidio Ene-Mar'!D10+'1 Propios Ene-Mar'!D8-1</f>
        <v>62</v>
      </c>
      <c r="E11" s="1">
        <f>+'1 Subsidio Ene-Mar'!E10+'1 Propios Ene-Mar'!E8</f>
        <v>6</v>
      </c>
      <c r="F11" s="1">
        <f>+'1 Subsidio Ene-Mar'!F10+'1 Propios Ene-Mar'!F8</f>
        <v>6</v>
      </c>
      <c r="G11" s="10">
        <f t="shared" si="0"/>
        <v>0</v>
      </c>
      <c r="H11" s="11">
        <f t="shared" ref="H11:H27" si="2">+(E11/F11)-1</f>
        <v>0</v>
      </c>
      <c r="I11" s="9">
        <f>+'1 Subsidio Ene-Mar'!I10+'1 Propios Ene-Mar'!I8</f>
        <v>147448</v>
      </c>
      <c r="J11" s="9">
        <f>+'1 Subsidio Ene-Mar'!J10+'1 Propios Ene-Mar'!J8</f>
        <v>0</v>
      </c>
      <c r="K11" s="9">
        <f>+'1 Subsidio Ene-Mar'!K10+'1 Propios Ene-Mar'!K8</f>
        <v>0</v>
      </c>
      <c r="L11" s="9">
        <f>+'1 Subsidio Ene-Mar'!L10+'1 Propios Ene-Mar'!L8</f>
        <v>147448</v>
      </c>
      <c r="M11" s="9">
        <f>+'1 Subsidio Ene-Mar'!M10+'1 Propios Ene-Mar'!M8</f>
        <v>4102</v>
      </c>
      <c r="N11" s="9">
        <f>+'1 Subsidio Ene-Mar'!N10+'1 Propios Ene-Mar'!N8</f>
        <v>2080</v>
      </c>
      <c r="O11" s="9">
        <f>+'1 Subsidio Ene-Mar'!O10+'1 Propios Ene-Mar'!O8</f>
        <v>2022</v>
      </c>
      <c r="P11" s="116">
        <f>+'1 Subsidio Ene-Mar'!P10+'1 Propios Ene-Mar'!P8</f>
        <v>0.49293027791321309</v>
      </c>
      <c r="Q11" s="15" t="s">
        <v>5</v>
      </c>
    </row>
    <row r="12" spans="1:17" s="13" customFormat="1" ht="27.75" customHeight="1" x14ac:dyDescent="0.25">
      <c r="A12" s="12">
        <f t="shared" si="1"/>
        <v>4</v>
      </c>
      <c r="B12" s="2" t="s">
        <v>47</v>
      </c>
      <c r="C12" s="8" t="s">
        <v>43</v>
      </c>
      <c r="D12" s="1">
        <f>+'1 Subsidio Ene-Mar'!D11</f>
        <v>4</v>
      </c>
      <c r="E12" s="1">
        <f>+'1 Subsidio Ene-Mar'!E11</f>
        <v>1</v>
      </c>
      <c r="F12" s="1">
        <f>+'1 Subsidio Ene-Mar'!F11</f>
        <v>1</v>
      </c>
      <c r="G12" s="10">
        <f t="shared" si="0"/>
        <v>0</v>
      </c>
      <c r="H12" s="11">
        <v>0</v>
      </c>
      <c r="I12" s="9">
        <f>+'1 Subsidio Ene-Mar'!I11</f>
        <v>16940</v>
      </c>
      <c r="J12" s="9">
        <f>+'1 Subsidio Ene-Mar'!J11</f>
        <v>0</v>
      </c>
      <c r="K12" s="9">
        <f>+'1 Subsidio Ene-Mar'!K11</f>
        <v>0</v>
      </c>
      <c r="L12" s="9">
        <f>+'1 Subsidio Ene-Mar'!L11</f>
        <v>16940</v>
      </c>
      <c r="M12" s="9">
        <f>+'1 Subsidio Ene-Mar'!M11</f>
        <v>6668</v>
      </c>
      <c r="N12" s="9">
        <f>+'1 Subsidio Ene-Mar'!N11</f>
        <v>7244</v>
      </c>
      <c r="O12" s="9">
        <f>+'1 Subsidio Ene-Mar'!O11</f>
        <v>-576</v>
      </c>
      <c r="P12" s="116">
        <f>+'1 Subsidio Ene-Mar'!P11</f>
        <v>-8.6382723455308938E-2</v>
      </c>
      <c r="Q12" s="15" t="s">
        <v>6</v>
      </c>
    </row>
    <row r="13" spans="1:17" s="13" customFormat="1" ht="27.75" customHeight="1" x14ac:dyDescent="0.25">
      <c r="A13" s="12">
        <f t="shared" si="1"/>
        <v>5</v>
      </c>
      <c r="B13" s="2" t="s">
        <v>48</v>
      </c>
      <c r="C13" s="8" t="s">
        <v>49</v>
      </c>
      <c r="D13" s="1">
        <f>+'1 Subsidio Ene-Mar'!D12</f>
        <v>2800</v>
      </c>
      <c r="E13" s="1">
        <f>+'1 Subsidio Ene-Mar'!E12</f>
        <v>2501</v>
      </c>
      <c r="F13" s="1">
        <f>+'1 Subsidio Ene-Mar'!F12</f>
        <v>2501</v>
      </c>
      <c r="G13" s="10">
        <f t="shared" si="0"/>
        <v>0</v>
      </c>
      <c r="H13" s="11">
        <f t="shared" si="2"/>
        <v>0</v>
      </c>
      <c r="I13" s="9">
        <f>+'1 Subsidio Ene-Mar'!I12+'1 Propios Ene-Mar'!I9</f>
        <v>2468095</v>
      </c>
      <c r="J13" s="9">
        <f>+'1 Subsidio Ene-Mar'!J12+'1 Propios Ene-Mar'!J9</f>
        <v>0</v>
      </c>
      <c r="K13" s="9">
        <f>+'1 Subsidio Ene-Mar'!K12+'1 Propios Ene-Mar'!K9</f>
        <v>0</v>
      </c>
      <c r="L13" s="9">
        <f>+'1 Subsidio Ene-Mar'!L12+'1 Propios Ene-Mar'!L9</f>
        <v>2468095</v>
      </c>
      <c r="M13" s="9">
        <f>+'1 Subsidio Ene-Mar'!M12+'1 Propios Ene-Mar'!M9</f>
        <v>294524</v>
      </c>
      <c r="N13" s="9">
        <f>+'1 Subsidio Ene-Mar'!N12+'1 Propios Ene-Mar'!N9</f>
        <v>229317</v>
      </c>
      <c r="O13" s="9">
        <f>+'1 Subsidio Ene-Mar'!O12+'1 Propios Ene-Mar'!O9</f>
        <v>65207</v>
      </c>
      <c r="P13" s="116">
        <f>+'1 Subsidio Ene-Mar'!P12+'1 Propios Ene-Mar'!P9</f>
        <v>0.29117640254109545</v>
      </c>
      <c r="Q13" s="15" t="s">
        <v>7</v>
      </c>
    </row>
    <row r="14" spans="1:17" s="13" customFormat="1" ht="27.75" customHeight="1" x14ac:dyDescent="0.25">
      <c r="A14" s="12">
        <f t="shared" si="1"/>
        <v>6</v>
      </c>
      <c r="B14" s="14" t="s">
        <v>50</v>
      </c>
      <c r="C14" s="8" t="s">
        <v>90</v>
      </c>
      <c r="D14" s="1">
        <f>+'1 Subsidio Ene-Mar'!D13</f>
        <v>1012</v>
      </c>
      <c r="E14" s="1">
        <f>+'1 Subsidio Ene-Mar'!E13</f>
        <v>372</v>
      </c>
      <c r="F14" s="1">
        <f>+'1 Subsidio Ene-Mar'!F13</f>
        <v>372</v>
      </c>
      <c r="G14" s="10">
        <f t="shared" si="0"/>
        <v>0</v>
      </c>
      <c r="H14" s="11">
        <f t="shared" si="2"/>
        <v>0</v>
      </c>
      <c r="I14" s="9">
        <f>+'1 Subsidio Ene-Mar'!I13+'1 Propios Ene-Mar'!I10</f>
        <v>233292</v>
      </c>
      <c r="J14" s="9">
        <f>+'1 Subsidio Ene-Mar'!J13+'1 Propios Ene-Mar'!J10</f>
        <v>0</v>
      </c>
      <c r="K14" s="9">
        <f>+'1 Subsidio Ene-Mar'!K13+'1 Propios Ene-Mar'!K10</f>
        <v>0</v>
      </c>
      <c r="L14" s="9">
        <f>+'1 Subsidio Ene-Mar'!L13+'1 Propios Ene-Mar'!L10</f>
        <v>233292</v>
      </c>
      <c r="M14" s="9">
        <f>+'1 Subsidio Ene-Mar'!M13+'1 Propios Ene-Mar'!M10</f>
        <v>7186</v>
      </c>
      <c r="N14" s="9">
        <f>+'1 Subsidio Ene-Mar'!N13+'1 Propios Ene-Mar'!N10</f>
        <v>6176</v>
      </c>
      <c r="O14" s="9">
        <f>+'1 Subsidio Ene-Mar'!O13+'1 Propios Ene-Mar'!O10</f>
        <v>1010</v>
      </c>
      <c r="P14" s="116">
        <f>+'1 Subsidio Ene-Mar'!P13+'1 Propios Ene-Mar'!P10</f>
        <v>0.14055107152797106</v>
      </c>
      <c r="Q14" s="15" t="s">
        <v>8</v>
      </c>
    </row>
    <row r="15" spans="1:17" s="13" customFormat="1" ht="27.75" customHeight="1" x14ac:dyDescent="0.25">
      <c r="A15" s="12">
        <f t="shared" si="1"/>
        <v>7</v>
      </c>
      <c r="B15" s="2" t="s">
        <v>52</v>
      </c>
      <c r="C15" s="8" t="s">
        <v>117</v>
      </c>
      <c r="D15" s="1">
        <f>+'1 Subsidio Ene-Mar'!D14</f>
        <v>7629</v>
      </c>
      <c r="E15" s="1">
        <f>+'1 Subsidio Ene-Mar'!E14</f>
        <v>2329</v>
      </c>
      <c r="F15" s="1">
        <f>+'1 Subsidio Ene-Mar'!F14</f>
        <v>2329</v>
      </c>
      <c r="G15" s="10">
        <f t="shared" si="0"/>
        <v>0</v>
      </c>
      <c r="H15" s="11">
        <f t="shared" si="2"/>
        <v>0</v>
      </c>
      <c r="I15" s="9">
        <f>+'1 Subsidio Ene-Mar'!I14</f>
        <v>117032</v>
      </c>
      <c r="J15" s="9">
        <f>+'1 Subsidio Ene-Mar'!J14</f>
        <v>0</v>
      </c>
      <c r="K15" s="9">
        <f>+'1 Subsidio Ene-Mar'!K14</f>
        <v>0</v>
      </c>
      <c r="L15" s="9">
        <f>+'1 Subsidio Ene-Mar'!L14</f>
        <v>117032</v>
      </c>
      <c r="M15" s="9">
        <f>+'1 Subsidio Ene-Mar'!M14</f>
        <v>42086</v>
      </c>
      <c r="N15" s="9">
        <f>+'1 Subsidio Ene-Mar'!N14</f>
        <v>37704</v>
      </c>
      <c r="O15" s="9">
        <f>+'1 Subsidio Ene-Mar'!O14</f>
        <v>4382</v>
      </c>
      <c r="P15" s="116">
        <f>+'1 Subsidio Ene-Mar'!P14</f>
        <v>0.10412013496174499</v>
      </c>
      <c r="Q15" s="15" t="s">
        <v>9</v>
      </c>
    </row>
    <row r="16" spans="1:17" s="13" customFormat="1" ht="27.75" customHeight="1" x14ac:dyDescent="0.25">
      <c r="A16" s="12">
        <f t="shared" si="1"/>
        <v>8</v>
      </c>
      <c r="B16" s="14" t="s">
        <v>53</v>
      </c>
      <c r="C16" s="8" t="s">
        <v>54</v>
      </c>
      <c r="D16" s="1">
        <f>+'1 Subsidio Ene-Mar'!D15</f>
        <v>56</v>
      </c>
      <c r="E16" s="1">
        <f>+'1 Subsidio Ene-Mar'!E15</f>
        <v>30</v>
      </c>
      <c r="F16" s="1">
        <f>+'1 Subsidio Ene-Mar'!F15</f>
        <v>30</v>
      </c>
      <c r="G16" s="10">
        <f t="shared" si="0"/>
        <v>0</v>
      </c>
      <c r="H16" s="11">
        <f t="shared" si="2"/>
        <v>0</v>
      </c>
      <c r="I16" s="9">
        <f>+'1 Subsidio Ene-Mar'!I15</f>
        <v>129236</v>
      </c>
      <c r="J16" s="9">
        <f>+'1 Subsidio Ene-Mar'!J15</f>
        <v>0</v>
      </c>
      <c r="K16" s="9">
        <f>+'1 Subsidio Ene-Mar'!K15</f>
        <v>0</v>
      </c>
      <c r="L16" s="9">
        <f>+'1 Subsidio Ene-Mar'!L15</f>
        <v>129236</v>
      </c>
      <c r="M16" s="9">
        <f>+'1 Subsidio Ene-Mar'!M15</f>
        <v>31568</v>
      </c>
      <c r="N16" s="9">
        <f>+'1 Subsidio Ene-Mar'!N15</f>
        <v>21296</v>
      </c>
      <c r="O16" s="9">
        <f>+'1 Subsidio Ene-Mar'!O15</f>
        <v>10272</v>
      </c>
      <c r="P16" s="116">
        <f>+'1 Subsidio Ene-Mar'!P15</f>
        <v>0.32539280283831729</v>
      </c>
      <c r="Q16" s="15" t="s">
        <v>10</v>
      </c>
    </row>
    <row r="17" spans="1:18" s="13" customFormat="1" ht="27.75" customHeight="1" x14ac:dyDescent="0.25">
      <c r="A17" s="12">
        <f t="shared" si="1"/>
        <v>9</v>
      </c>
      <c r="B17" s="14" t="s">
        <v>56</v>
      </c>
      <c r="C17" s="8" t="s">
        <v>57</v>
      </c>
      <c r="D17" s="1">
        <f>+'1 Subsidio Ene-Mar'!D16</f>
        <v>20</v>
      </c>
      <c r="E17" s="1">
        <f>+'1 Subsidio Ene-Mar'!E16</f>
        <v>5</v>
      </c>
      <c r="F17" s="1">
        <f>+'1 Subsidio Ene-Mar'!F16</f>
        <v>5</v>
      </c>
      <c r="G17" s="10">
        <f t="shared" si="0"/>
        <v>0</v>
      </c>
      <c r="H17" s="11">
        <f t="shared" si="2"/>
        <v>0</v>
      </c>
      <c r="I17" s="9">
        <f>+'1 Subsidio Ene-Mar'!I16</f>
        <v>130252</v>
      </c>
      <c r="J17" s="9">
        <f>+'1 Subsidio Ene-Mar'!J16</f>
        <v>0</v>
      </c>
      <c r="K17" s="9">
        <f>+'1 Subsidio Ene-Mar'!K16</f>
        <v>0</v>
      </c>
      <c r="L17" s="9">
        <f>+'1 Subsidio Ene-Mar'!L16</f>
        <v>130252</v>
      </c>
      <c r="M17" s="9">
        <f>+'1 Subsidio Ene-Mar'!M16</f>
        <v>33378</v>
      </c>
      <c r="N17" s="9">
        <f>+'1 Subsidio Ene-Mar'!N16</f>
        <v>33478</v>
      </c>
      <c r="O17" s="9">
        <f>+'1 Subsidio Ene-Mar'!O16</f>
        <v>-100</v>
      </c>
      <c r="P17" s="116">
        <f>+'1 Subsidio Ene-Mar'!P16</f>
        <v>-2.9959853795913476E-3</v>
      </c>
      <c r="Q17" s="15" t="s">
        <v>11</v>
      </c>
    </row>
    <row r="18" spans="1:18" s="13" customFormat="1" ht="27.75" customHeight="1" x14ac:dyDescent="0.25">
      <c r="A18" s="12">
        <f t="shared" si="1"/>
        <v>10</v>
      </c>
      <c r="B18" s="2" t="s">
        <v>55</v>
      </c>
      <c r="C18" s="8" t="s">
        <v>91</v>
      </c>
      <c r="D18" s="1">
        <f>+'1 Subsidio Ene-Mar'!D17</f>
        <v>1</v>
      </c>
      <c r="E18" s="1">
        <f>+'1 Subsidio Ene-Mar'!E17</f>
        <v>0</v>
      </c>
      <c r="F18" s="1">
        <f>+'1 Subsidio Ene-Mar'!F17</f>
        <v>0</v>
      </c>
      <c r="G18" s="10">
        <f t="shared" si="0"/>
        <v>0</v>
      </c>
      <c r="H18" s="11">
        <v>0</v>
      </c>
      <c r="I18" s="9">
        <f>+'1 Subsidio Ene-Mar'!I17+'1 Propios Ene-Mar'!I11</f>
        <v>345705</v>
      </c>
      <c r="J18" s="9">
        <f>+'1 Subsidio Ene-Mar'!J17+'1 Propios Ene-Mar'!J11</f>
        <v>0</v>
      </c>
      <c r="K18" s="9">
        <f>+'1 Subsidio Ene-Mar'!K17+'1 Propios Ene-Mar'!K11</f>
        <v>0</v>
      </c>
      <c r="L18" s="9">
        <f>+'1 Subsidio Ene-Mar'!L17+'1 Propios Ene-Mar'!L11</f>
        <v>345705</v>
      </c>
      <c r="M18" s="9">
        <f>+'1 Subsidio Ene-Mar'!M17+'1 Propios Ene-Mar'!M11</f>
        <v>33958</v>
      </c>
      <c r="N18" s="9">
        <f>+'1 Subsidio Ene-Mar'!N17+'1 Propios Ene-Mar'!N11</f>
        <v>25133</v>
      </c>
      <c r="O18" s="9">
        <f>+'1 Subsidio Ene-Mar'!O17+'1 Propios Ene-Mar'!O11</f>
        <v>8825</v>
      </c>
      <c r="P18" s="116">
        <f>+'1 Subsidio Ene-Mar'!P17+'1 Propios Ene-Mar'!P11</f>
        <v>0.15414109259267833</v>
      </c>
      <c r="Q18" s="15" t="s">
        <v>12</v>
      </c>
    </row>
    <row r="19" spans="1:18" ht="27.75" customHeight="1" x14ac:dyDescent="0.2">
      <c r="A19" s="12">
        <f t="shared" si="1"/>
        <v>11</v>
      </c>
      <c r="B19" s="7" t="s">
        <v>78</v>
      </c>
      <c r="C19" s="8" t="s">
        <v>119</v>
      </c>
      <c r="D19" s="9">
        <f>+'1 Propios Ene-Mar'!D12</f>
        <v>1</v>
      </c>
      <c r="E19" s="87">
        <f>+'1 Propios Ene-Mar'!E12</f>
        <v>0.25</v>
      </c>
      <c r="F19" s="87">
        <f>+'1 Propios Ene-Mar'!F12</f>
        <v>0.25</v>
      </c>
      <c r="G19" s="10">
        <f>+E19-F19</f>
        <v>0</v>
      </c>
      <c r="H19" s="11">
        <f>+(E19/F19)-1</f>
        <v>0</v>
      </c>
      <c r="I19" s="9">
        <f>+'1 Propios Ene-Mar'!I12</f>
        <v>98862</v>
      </c>
      <c r="J19" s="9">
        <f>+'1 Propios Ene-Mar'!J12</f>
        <v>0</v>
      </c>
      <c r="K19" s="9">
        <f>+'1 Propios Ene-Mar'!K12</f>
        <v>0</v>
      </c>
      <c r="L19" s="9">
        <f>+'1 Propios Ene-Mar'!L12</f>
        <v>98862</v>
      </c>
      <c r="M19" s="9">
        <f>+'1 Propios Ene-Mar'!M12</f>
        <v>73982</v>
      </c>
      <c r="N19" s="9">
        <f>+'1 Propios Ene-Mar'!N12</f>
        <v>73979</v>
      </c>
      <c r="O19" s="9">
        <f>+'1 Propios Ene-Mar'!O12</f>
        <v>3</v>
      </c>
      <c r="P19" s="116">
        <f>+'1 Propios Ene-Mar'!P12</f>
        <v>4.0550404152361388E-5</v>
      </c>
      <c r="Q19" s="15" t="s">
        <v>13</v>
      </c>
    </row>
    <row r="20" spans="1:18" s="13" customFormat="1" ht="27.75" customHeight="1" x14ac:dyDescent="0.25">
      <c r="A20" s="12">
        <f t="shared" si="1"/>
        <v>12</v>
      </c>
      <c r="B20" s="2" t="s">
        <v>42</v>
      </c>
      <c r="C20" s="74" t="s">
        <v>43</v>
      </c>
      <c r="D20" s="1">
        <f>+'1 Subsidio Ene-Mar'!D18</f>
        <v>4</v>
      </c>
      <c r="E20" s="1">
        <f>+'1 Subsidio Ene-Mar'!E18</f>
        <v>2</v>
      </c>
      <c r="F20" s="1">
        <f>+'1 Subsidio Ene-Mar'!F18</f>
        <v>2</v>
      </c>
      <c r="G20" s="10">
        <f t="shared" si="0"/>
        <v>0</v>
      </c>
      <c r="H20" s="11">
        <v>0</v>
      </c>
      <c r="I20" s="9">
        <f>+'1 Subsidio Ene-Mar'!I18</f>
        <v>132394</v>
      </c>
      <c r="J20" s="9">
        <f>+'1 Subsidio Ene-Mar'!J18</f>
        <v>0</v>
      </c>
      <c r="K20" s="9">
        <f>+'1 Subsidio Ene-Mar'!K18</f>
        <v>0</v>
      </c>
      <c r="L20" s="9">
        <f>+'1 Subsidio Ene-Mar'!L18</f>
        <v>132394</v>
      </c>
      <c r="M20" s="9">
        <f>+'1 Subsidio Ene-Mar'!M18</f>
        <v>38402</v>
      </c>
      <c r="N20" s="9">
        <f>+'1 Subsidio Ene-Mar'!N18</f>
        <v>36630</v>
      </c>
      <c r="O20" s="9">
        <f>+'1 Subsidio Ene-Mar'!O18</f>
        <v>1772</v>
      </c>
      <c r="P20" s="116">
        <f>+'1 Subsidio Ene-Mar'!P18</f>
        <v>4.6143430029685954E-2</v>
      </c>
      <c r="Q20" s="15" t="s">
        <v>14</v>
      </c>
    </row>
    <row r="21" spans="1:18" s="13" customFormat="1" ht="27.75" customHeight="1" x14ac:dyDescent="0.25">
      <c r="A21" s="12">
        <f t="shared" si="1"/>
        <v>13</v>
      </c>
      <c r="B21" s="14" t="s">
        <v>77</v>
      </c>
      <c r="C21" s="8" t="s">
        <v>104</v>
      </c>
      <c r="D21" s="1">
        <f>+'1 Propios Ene-Mar'!D13</f>
        <v>52</v>
      </c>
      <c r="E21" s="1">
        <f>+'1 Propios Ene-Mar'!E13</f>
        <v>16</v>
      </c>
      <c r="F21" s="1">
        <f>+'1 Propios Ene-Mar'!F13</f>
        <v>16</v>
      </c>
      <c r="G21" s="10">
        <f>+E21-F21</f>
        <v>0</v>
      </c>
      <c r="H21" s="11">
        <f>+(E21/F21)-1</f>
        <v>0</v>
      </c>
      <c r="I21" s="9">
        <f>+'1 Propios Ene-Mar'!I13</f>
        <v>1627713</v>
      </c>
      <c r="J21" s="9">
        <f>+'1 Propios Ene-Mar'!J13</f>
        <v>0</v>
      </c>
      <c r="K21" s="9">
        <f>+'1 Propios Ene-Mar'!K13</f>
        <v>0</v>
      </c>
      <c r="L21" s="9">
        <f>+'1 Propios Ene-Mar'!L13</f>
        <v>1627713</v>
      </c>
      <c r="M21" s="9">
        <f>+'1 Propios Ene-Mar'!M13</f>
        <v>503474</v>
      </c>
      <c r="N21" s="9">
        <f>+'1 Propios Ene-Mar'!N13</f>
        <v>219719</v>
      </c>
      <c r="O21" s="9">
        <f>+'1 Propios Ene-Mar'!O13</f>
        <v>283755</v>
      </c>
      <c r="P21" s="116">
        <f>+'1 Propios Ene-Mar'!P13</f>
        <v>0.56359414786066409</v>
      </c>
      <c r="Q21" s="15" t="s">
        <v>15</v>
      </c>
      <c r="R21" s="95"/>
    </row>
    <row r="22" spans="1:18" s="13" customFormat="1" ht="27.75" customHeight="1" x14ac:dyDescent="0.25">
      <c r="A22" s="12">
        <f t="shared" si="1"/>
        <v>14</v>
      </c>
      <c r="B22" s="14" t="s">
        <v>61</v>
      </c>
      <c r="C22" s="8" t="s">
        <v>62</v>
      </c>
      <c r="D22" s="1">
        <f>+'1 Subsidio Ene-Mar'!D19</f>
        <v>174</v>
      </c>
      <c r="E22" s="1">
        <f>+'1 Subsidio Ene-Mar'!E19</f>
        <v>60</v>
      </c>
      <c r="F22" s="1">
        <f>+'1 Subsidio Ene-Mar'!F19</f>
        <v>60</v>
      </c>
      <c r="G22" s="10">
        <f t="shared" si="0"/>
        <v>0</v>
      </c>
      <c r="H22" s="11">
        <f t="shared" si="2"/>
        <v>0</v>
      </c>
      <c r="I22" s="9">
        <f>+'1 Subsidio Ene-Mar'!I19</f>
        <v>380268</v>
      </c>
      <c r="J22" s="9">
        <f>+'1 Subsidio Ene-Mar'!J19</f>
        <v>0</v>
      </c>
      <c r="K22" s="9">
        <f>+'1 Subsidio Ene-Mar'!K19</f>
        <v>0</v>
      </c>
      <c r="L22" s="9">
        <f>+'1 Subsidio Ene-Mar'!L19</f>
        <v>380268</v>
      </c>
      <c r="M22" s="9">
        <f>+'1 Subsidio Ene-Mar'!M19</f>
        <v>23916</v>
      </c>
      <c r="N22" s="9">
        <f>+'1 Subsidio Ene-Mar'!N19</f>
        <v>25492</v>
      </c>
      <c r="O22" s="9">
        <f>+'1 Subsidio Ene-Mar'!O19</f>
        <v>-1576</v>
      </c>
      <c r="P22" s="116">
        <f>+'1 Subsidio Ene-Mar'!P19</f>
        <v>-6.5897307242013717E-2</v>
      </c>
      <c r="Q22" s="15" t="s">
        <v>16</v>
      </c>
    </row>
    <row r="23" spans="1:18" s="13" customFormat="1" ht="27.75" customHeight="1" x14ac:dyDescent="0.25">
      <c r="A23" s="12">
        <f t="shared" si="1"/>
        <v>15</v>
      </c>
      <c r="B23" s="14" t="s">
        <v>58</v>
      </c>
      <c r="C23" s="8" t="s">
        <v>120</v>
      </c>
      <c r="D23" s="1">
        <f>+'1 Subsidio Ene-Mar'!D20</f>
        <v>60</v>
      </c>
      <c r="E23" s="1">
        <f>+'1 Subsidio Ene-Mar'!E20</f>
        <v>4</v>
      </c>
      <c r="F23" s="1">
        <f>+'1 Subsidio Ene-Mar'!F20</f>
        <v>4</v>
      </c>
      <c r="G23" s="10">
        <f t="shared" si="0"/>
        <v>0</v>
      </c>
      <c r="H23" s="11">
        <f t="shared" si="2"/>
        <v>0</v>
      </c>
      <c r="I23" s="9">
        <f>+'1 Subsidio Ene-Mar'!I20</f>
        <v>102630</v>
      </c>
      <c r="J23" s="9">
        <f>+'1 Subsidio Ene-Mar'!J20</f>
        <v>0</v>
      </c>
      <c r="K23" s="9">
        <f>+'1 Subsidio Ene-Mar'!K20</f>
        <v>0</v>
      </c>
      <c r="L23" s="9">
        <f>+'1 Subsidio Ene-Mar'!L20</f>
        <v>102630</v>
      </c>
      <c r="M23" s="9">
        <f>+'1 Subsidio Ene-Mar'!M20</f>
        <v>8640</v>
      </c>
      <c r="N23" s="9">
        <f>+'1 Subsidio Ene-Mar'!N20</f>
        <v>8640</v>
      </c>
      <c r="O23" s="9">
        <f>+'1 Subsidio Ene-Mar'!O20</f>
        <v>0</v>
      </c>
      <c r="P23" s="116">
        <f>+'1 Subsidio Ene-Mar'!P20</f>
        <v>0</v>
      </c>
      <c r="Q23" s="15" t="s">
        <v>17</v>
      </c>
    </row>
    <row r="24" spans="1:18" s="13" customFormat="1" ht="35.25" customHeight="1" x14ac:dyDescent="0.25">
      <c r="A24" s="12">
        <f t="shared" si="1"/>
        <v>16</v>
      </c>
      <c r="B24" s="2" t="s">
        <v>63</v>
      </c>
      <c r="C24" s="8" t="s">
        <v>126</v>
      </c>
      <c r="D24" s="1">
        <f>+'1 Subsidio Ene-Mar'!D21+'1 Propios Ene-Mar'!D14</f>
        <v>82</v>
      </c>
      <c r="E24" s="1">
        <f>+'1 Subsidio Ene-Mar'!E21+'1 Propios Ene-Mar'!E14</f>
        <v>18</v>
      </c>
      <c r="F24" s="1">
        <f>+'1 Subsidio Ene-Mar'!F21+'1 Propios Ene-Mar'!F14</f>
        <v>18</v>
      </c>
      <c r="G24" s="10">
        <f t="shared" si="0"/>
        <v>0</v>
      </c>
      <c r="H24" s="11">
        <f t="shared" si="2"/>
        <v>0</v>
      </c>
      <c r="I24" s="9">
        <f>+'1 Subsidio Ene-Mar'!I21+'1 Propios Ene-Mar'!I14</f>
        <v>4998977</v>
      </c>
      <c r="J24" s="9">
        <f>+'1 Subsidio Ene-Mar'!J21+'1 Propios Ene-Mar'!J14</f>
        <v>0</v>
      </c>
      <c r="K24" s="9">
        <f>+'1 Subsidio Ene-Mar'!K21+'1 Propios Ene-Mar'!K14</f>
        <v>0</v>
      </c>
      <c r="L24" s="9">
        <f>+'1 Subsidio Ene-Mar'!L21+'1 Propios Ene-Mar'!L14</f>
        <v>4998977</v>
      </c>
      <c r="M24" s="9">
        <f>+'1 Subsidio Ene-Mar'!M21+'1 Propios Ene-Mar'!M14</f>
        <v>1481137</v>
      </c>
      <c r="N24" s="9">
        <f>+'1 Subsidio Ene-Mar'!N21+'1 Propios Ene-Mar'!N14</f>
        <v>1429823</v>
      </c>
      <c r="O24" s="9">
        <f>+'1 Subsidio Ene-Mar'!O21+'1 Propios Ene-Mar'!O14</f>
        <v>51314</v>
      </c>
      <c r="P24" s="116">
        <f>+'1 Subsidio Ene-Mar'!P21+'1 Propios Ene-Mar'!P14</f>
        <v>0.46883091746787181</v>
      </c>
      <c r="Q24" s="15" t="s">
        <v>18</v>
      </c>
    </row>
    <row r="25" spans="1:18" s="13" customFormat="1" ht="27.75" customHeight="1" x14ac:dyDescent="0.25">
      <c r="A25" s="12">
        <f t="shared" si="1"/>
        <v>17</v>
      </c>
      <c r="B25" s="2" t="s">
        <v>65</v>
      </c>
      <c r="C25" s="8" t="s">
        <v>66</v>
      </c>
      <c r="D25" s="1">
        <f>+'1 Subsidio Ene-Mar'!D22+'1 Propios Ene-Mar'!D15-1</f>
        <v>1</v>
      </c>
      <c r="E25" s="75">
        <v>0.25</v>
      </c>
      <c r="F25" s="75">
        <v>0.25</v>
      </c>
      <c r="G25" s="10">
        <f t="shared" si="0"/>
        <v>0</v>
      </c>
      <c r="H25" s="11">
        <f t="shared" si="2"/>
        <v>0</v>
      </c>
      <c r="I25" s="9">
        <f>+'1 Subsidio Ene-Mar'!I22+'1 Propios Ene-Mar'!I15</f>
        <v>70443003</v>
      </c>
      <c r="J25" s="9">
        <f>+'1 Subsidio Ene-Mar'!J22+'1 Propios Ene-Mar'!J15</f>
        <v>0</v>
      </c>
      <c r="K25" s="9">
        <f>+'1 Subsidio Ene-Mar'!K22+'1 Propios Ene-Mar'!K15</f>
        <v>0</v>
      </c>
      <c r="L25" s="9">
        <f>+'1 Subsidio Ene-Mar'!L22+'1 Propios Ene-Mar'!L15</f>
        <v>70443003</v>
      </c>
      <c r="M25" s="9">
        <f>+'1 Subsidio Ene-Mar'!M22+'1 Propios Ene-Mar'!M15</f>
        <v>17446602</v>
      </c>
      <c r="N25" s="9">
        <f>+'1 Subsidio Ene-Mar'!N22+'1 Propios Ene-Mar'!N15</f>
        <v>15656534</v>
      </c>
      <c r="O25" s="9">
        <f>+'1 Subsidio Ene-Mar'!O22+'1 Propios Ene-Mar'!O15</f>
        <v>1790068</v>
      </c>
      <c r="P25" s="116">
        <f>+'1 Subsidio Ene-Mar'!P22+'1 Propios Ene-Mar'!P15</f>
        <v>0.30047041641919531</v>
      </c>
      <c r="Q25" s="15" t="s">
        <v>19</v>
      </c>
    </row>
    <row r="26" spans="1:18" s="13" customFormat="1" ht="27.75" customHeight="1" x14ac:dyDescent="0.25">
      <c r="A26" s="12">
        <f t="shared" si="1"/>
        <v>18</v>
      </c>
      <c r="B26" s="14" t="s">
        <v>59</v>
      </c>
      <c r="C26" s="8" t="s">
        <v>60</v>
      </c>
      <c r="D26" s="1">
        <f>+'1 Subsidio Ene-Mar'!D23</f>
        <v>4</v>
      </c>
      <c r="E26" s="1">
        <f>+'1 Subsidio Ene-Mar'!E23</f>
        <v>0</v>
      </c>
      <c r="F26" s="1">
        <f>+'1 Subsidio Ene-Mar'!F23</f>
        <v>0</v>
      </c>
      <c r="G26" s="10">
        <f t="shared" si="0"/>
        <v>0</v>
      </c>
      <c r="H26" s="11">
        <v>0</v>
      </c>
      <c r="I26" s="9">
        <f>+'1 Subsidio Ene-Mar'!I23+'1 Propios Ene-Mar'!I16</f>
        <v>1602720</v>
      </c>
      <c r="J26" s="9">
        <f>+'1 Subsidio Ene-Mar'!J23+'1 Propios Ene-Mar'!J16</f>
        <v>0</v>
      </c>
      <c r="K26" s="9">
        <f>+'1 Subsidio Ene-Mar'!K23+'1 Propios Ene-Mar'!K16</f>
        <v>0</v>
      </c>
      <c r="L26" s="9">
        <f>+'1 Subsidio Ene-Mar'!L23+'1 Propios Ene-Mar'!L16</f>
        <v>1602720</v>
      </c>
      <c r="M26" s="9">
        <f>+'1 Subsidio Ene-Mar'!M23+'1 Propios Ene-Mar'!M16</f>
        <v>419766</v>
      </c>
      <c r="N26" s="9">
        <f>+'1 Subsidio Ene-Mar'!N23+'1 Propios Ene-Mar'!N16</f>
        <v>414285</v>
      </c>
      <c r="O26" s="9">
        <f>+'1 Subsidio Ene-Mar'!O23+'1 Propios Ene-Mar'!O16</f>
        <v>5481</v>
      </c>
      <c r="P26" s="116">
        <f>+'1 Subsidio Ene-Mar'!P23+'1 Propios Ene-Mar'!P16</f>
        <v>2.1717715611877748E-2</v>
      </c>
      <c r="Q26" s="15" t="s">
        <v>20</v>
      </c>
    </row>
    <row r="27" spans="1:18" s="13" customFormat="1" ht="27.75" customHeight="1" x14ac:dyDescent="0.25">
      <c r="A27" s="12">
        <f t="shared" si="1"/>
        <v>19</v>
      </c>
      <c r="B27" s="14" t="s">
        <v>64</v>
      </c>
      <c r="C27" s="8" t="s">
        <v>127</v>
      </c>
      <c r="D27" s="1">
        <f>+'1 Subsidio Ene-Mar'!D24</f>
        <v>61</v>
      </c>
      <c r="E27" s="1">
        <f>+'1 Subsidio Ene-Mar'!E24</f>
        <v>15</v>
      </c>
      <c r="F27" s="1">
        <f>+'1 Subsidio Ene-Mar'!F24</f>
        <v>15</v>
      </c>
      <c r="G27" s="10">
        <f t="shared" si="0"/>
        <v>0</v>
      </c>
      <c r="H27" s="11">
        <f t="shared" si="2"/>
        <v>0</v>
      </c>
      <c r="I27" s="9">
        <f>+'1 Subsidio Ene-Mar'!I24+'1 Propios Ene-Mar'!I17</f>
        <v>191904</v>
      </c>
      <c r="J27" s="9">
        <f>+'1 Subsidio Ene-Mar'!J24+'1 Propios Ene-Mar'!J17</f>
        <v>0</v>
      </c>
      <c r="K27" s="9">
        <f>+'1 Subsidio Ene-Mar'!K24+'1 Propios Ene-Mar'!K17</f>
        <v>0</v>
      </c>
      <c r="L27" s="9">
        <f>+'1 Subsidio Ene-Mar'!L24+'1 Propios Ene-Mar'!L17</f>
        <v>191904</v>
      </c>
      <c r="M27" s="9">
        <f>+'1 Subsidio Ene-Mar'!M24+'1 Propios Ene-Mar'!M17</f>
        <v>23862</v>
      </c>
      <c r="N27" s="9">
        <f>+'1 Subsidio Ene-Mar'!N24+'1 Propios Ene-Mar'!N17</f>
        <v>14466</v>
      </c>
      <c r="O27" s="9">
        <f>+'1 Subsidio Ene-Mar'!O24+'1 Propios Ene-Mar'!O17</f>
        <v>9396</v>
      </c>
      <c r="P27" s="116">
        <f>+'1 Subsidio Ene-Mar'!P24+'1 Propios Ene-Mar'!P17</f>
        <v>0.39376414382700525</v>
      </c>
      <c r="Q27" s="15" t="s">
        <v>21</v>
      </c>
    </row>
    <row r="28" spans="1:18" s="13" customFormat="1" ht="24.75" customHeight="1" x14ac:dyDescent="0.25">
      <c r="A28" s="16"/>
      <c r="B28" s="217" t="s">
        <v>1</v>
      </c>
      <c r="C28" s="218"/>
      <c r="D28" s="96">
        <f>SUM(D9:D27)</f>
        <v>13062</v>
      </c>
      <c r="E28" s="96">
        <f>SUM(E9:E27)</f>
        <v>5752.5</v>
      </c>
      <c r="F28" s="96">
        <f>SUM(F9:F27)</f>
        <v>5752.5</v>
      </c>
      <c r="G28" s="97">
        <f>SUM(G9:G27)</f>
        <v>0</v>
      </c>
      <c r="H28" s="98">
        <f>+(E28/F28)-1</f>
        <v>0</v>
      </c>
      <c r="I28" s="96">
        <f>SUM(I9:I27)</f>
        <v>83367929</v>
      </c>
      <c r="J28" s="96">
        <f>SUM(J9:J27)</f>
        <v>0</v>
      </c>
      <c r="K28" s="96">
        <f>SUM(K9:K27)</f>
        <v>0</v>
      </c>
      <c r="L28" s="96">
        <f>SUM(L9:L27)</f>
        <v>83367929</v>
      </c>
      <c r="M28" s="96">
        <f>SUM(M9:M27)-1</f>
        <v>20498798</v>
      </c>
      <c r="N28" s="96">
        <f>SUM(N9:N27)-2</f>
        <v>18260252</v>
      </c>
      <c r="O28" s="96">
        <f>SUM(O9:O27)+1</f>
        <v>2238546</v>
      </c>
      <c r="P28" s="117">
        <f>+O28/M28</f>
        <v>0.10920376892342663</v>
      </c>
    </row>
    <row r="29" spans="1:18" s="13" customFormat="1" ht="4.5" customHeight="1" x14ac:dyDescent="0.25">
      <c r="A29" s="17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  <c r="P29" s="95"/>
    </row>
    <row r="30" spans="1:18" s="13" customFormat="1" ht="4.5" customHeight="1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0"/>
      <c r="P30" s="95"/>
    </row>
    <row r="31" spans="1:18" s="13" customFormat="1" ht="26.25" customHeight="1" x14ac:dyDescent="0.25">
      <c r="A31" s="108"/>
      <c r="B31" s="108"/>
      <c r="C31" s="108"/>
      <c r="D31" s="108"/>
      <c r="E31" s="108"/>
      <c r="F31" s="108"/>
      <c r="G31" s="108"/>
      <c r="H31" s="108"/>
      <c r="I31" s="109"/>
      <c r="J31" s="109"/>
      <c r="K31" s="109"/>
      <c r="L31" s="109"/>
      <c r="M31" s="109"/>
      <c r="N31" s="109"/>
      <c r="O31" s="109"/>
      <c r="P31" s="110"/>
      <c r="Q31" s="77"/>
    </row>
    <row r="32" spans="1:18" s="107" customFormat="1" ht="15" x14ac:dyDescent="0.25"/>
    <row r="33" spans="9:9" s="107" customFormat="1" ht="15" x14ac:dyDescent="0.25"/>
    <row r="34" spans="9:9" s="107" customFormat="1" ht="15" x14ac:dyDescent="0.25"/>
    <row r="35" spans="9:9" s="107" customFormat="1" ht="15" x14ac:dyDescent="0.25"/>
    <row r="36" spans="9:9" s="107" customFormat="1" ht="15" x14ac:dyDescent="0.25"/>
    <row r="37" spans="9:9" s="107" customFormat="1" ht="15" x14ac:dyDescent="0.25"/>
    <row r="38" spans="9:9" s="107" customFormat="1" ht="15" x14ac:dyDescent="0.25"/>
    <row r="39" spans="9:9" s="107" customFormat="1" ht="15" x14ac:dyDescent="0.25"/>
    <row r="40" spans="9:9" s="107" customFormat="1" ht="15" x14ac:dyDescent="0.25"/>
    <row r="41" spans="9:9" x14ac:dyDescent="0.2">
      <c r="I41" s="114"/>
    </row>
  </sheetData>
  <mergeCells count="21">
    <mergeCell ref="B28:C28"/>
    <mergeCell ref="A6:A8"/>
    <mergeCell ref="B6:B8"/>
    <mergeCell ref="C6:C8"/>
    <mergeCell ref="D7:D8"/>
    <mergeCell ref="D6:H6"/>
    <mergeCell ref="A2:Q2"/>
    <mergeCell ref="A3:Q3"/>
    <mergeCell ref="A4:Q4"/>
    <mergeCell ref="K7:K8"/>
    <mergeCell ref="L7:L8"/>
    <mergeCell ref="M7:M8"/>
    <mergeCell ref="E7:E8"/>
    <mergeCell ref="F7:F8"/>
    <mergeCell ref="G7:H7"/>
    <mergeCell ref="Q6:Q8"/>
    <mergeCell ref="O7:P7"/>
    <mergeCell ref="I6:P6"/>
    <mergeCell ref="N7:N8"/>
    <mergeCell ref="I7:I8"/>
    <mergeCell ref="J7:J8"/>
  </mergeCells>
  <printOptions horizontalCentered="1"/>
  <pageMargins left="0" right="0" top="0.78740157480314965" bottom="0" header="0.31496062992125984" footer="0.31496062992125984"/>
  <pageSetup scale="6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42"/>
  <sheetViews>
    <sheetView topLeftCell="C19" workbookViewId="0">
      <selection activeCell="R43" sqref="R43"/>
    </sheetView>
  </sheetViews>
  <sheetFormatPr baseColWidth="10" defaultRowHeight="12.75" x14ac:dyDescent="0.2"/>
  <cols>
    <col min="1" max="1" width="5.28515625" style="51" customWidth="1"/>
    <col min="2" max="2" width="25.42578125" style="51" customWidth="1"/>
    <col min="3" max="3" width="14" style="51" customWidth="1"/>
    <col min="4" max="4" width="9" style="51" customWidth="1"/>
    <col min="5" max="5" width="10.85546875" style="51" customWidth="1"/>
    <col min="6" max="6" width="11.28515625" style="51" bestFit="1" customWidth="1"/>
    <col min="7" max="7" width="11.85546875" style="51" bestFit="1" customWidth="1"/>
    <col min="8" max="8" width="9.28515625" style="51" bestFit="1" customWidth="1"/>
    <col min="9" max="9" width="7.5703125" style="51" bestFit="1" customWidth="1"/>
    <col min="10" max="10" width="11" style="51" bestFit="1" customWidth="1"/>
    <col min="11" max="11" width="12.140625" style="51" bestFit="1" customWidth="1"/>
    <col min="12" max="12" width="10.85546875" style="51" bestFit="1" customWidth="1"/>
    <col min="13" max="13" width="12" style="51" bestFit="1" customWidth="1"/>
    <col min="14" max="14" width="13.42578125" style="76" bestFit="1" customWidth="1"/>
    <col min="15" max="15" width="11.140625" style="51" bestFit="1" customWidth="1"/>
    <col min="16" max="16" width="8.85546875" style="51" bestFit="1" customWidth="1"/>
    <col min="17" max="17" width="6.5703125" style="51" bestFit="1" customWidth="1"/>
    <col min="18" max="18" width="9.85546875" style="24" bestFit="1" customWidth="1"/>
    <col min="19" max="164" width="11.42578125" style="24"/>
    <col min="165" max="165" width="5.28515625" style="24" customWidth="1"/>
    <col min="166" max="166" width="25.42578125" style="24" customWidth="1"/>
    <col min="167" max="167" width="14" style="24" customWidth="1"/>
    <col min="168" max="168" width="9.28515625" style="24" customWidth="1"/>
    <col min="169" max="169" width="13.5703125" style="24" customWidth="1"/>
    <col min="170" max="170" width="12.140625" style="24" customWidth="1"/>
    <col min="171" max="171" width="10.7109375" style="24" customWidth="1"/>
    <col min="172" max="172" width="10.42578125" style="24" customWidth="1"/>
    <col min="173" max="173" width="10.5703125" style="24" customWidth="1"/>
    <col min="174" max="174" width="12.5703125" style="24" customWidth="1"/>
    <col min="175" max="175" width="12" style="24" customWidth="1"/>
    <col min="176" max="176" width="12.28515625" style="24" customWidth="1"/>
    <col min="177" max="177" width="0" style="24" hidden="1" customWidth="1"/>
    <col min="178" max="178" width="12.42578125" style="24" customWidth="1"/>
    <col min="179" max="179" width="11.28515625" style="24" customWidth="1"/>
    <col min="180" max="181" width="0" style="24" hidden="1" customWidth="1"/>
    <col min="182" max="182" width="8.85546875" style="24" bestFit="1" customWidth="1"/>
    <col min="183" max="420" width="11.42578125" style="24"/>
    <col min="421" max="421" width="5.28515625" style="24" customWidth="1"/>
    <col min="422" max="422" width="25.42578125" style="24" customWidth="1"/>
    <col min="423" max="423" width="14" style="24" customWidth="1"/>
    <col min="424" max="424" width="9.28515625" style="24" customWidth="1"/>
    <col min="425" max="425" width="13.5703125" style="24" customWidth="1"/>
    <col min="426" max="426" width="12.140625" style="24" customWidth="1"/>
    <col min="427" max="427" width="10.7109375" style="24" customWidth="1"/>
    <col min="428" max="428" width="10.42578125" style="24" customWidth="1"/>
    <col min="429" max="429" width="10.5703125" style="24" customWidth="1"/>
    <col min="430" max="430" width="12.5703125" style="24" customWidth="1"/>
    <col min="431" max="431" width="12" style="24" customWidth="1"/>
    <col min="432" max="432" width="12.28515625" style="24" customWidth="1"/>
    <col min="433" max="433" width="0" style="24" hidden="1" customWidth="1"/>
    <col min="434" max="434" width="12.42578125" style="24" customWidth="1"/>
    <col min="435" max="435" width="11.28515625" style="24" customWidth="1"/>
    <col min="436" max="437" width="0" style="24" hidden="1" customWidth="1"/>
    <col min="438" max="438" width="8.85546875" style="24" bestFit="1" customWidth="1"/>
    <col min="439" max="676" width="11.42578125" style="24"/>
    <col min="677" max="677" width="5.28515625" style="24" customWidth="1"/>
    <col min="678" max="678" width="25.42578125" style="24" customWidth="1"/>
    <col min="679" max="679" width="14" style="24" customWidth="1"/>
    <col min="680" max="680" width="9.28515625" style="24" customWidth="1"/>
    <col min="681" max="681" width="13.5703125" style="24" customWidth="1"/>
    <col min="682" max="682" width="12.140625" style="24" customWidth="1"/>
    <col min="683" max="683" width="10.7109375" style="24" customWidth="1"/>
    <col min="684" max="684" width="10.42578125" style="24" customWidth="1"/>
    <col min="685" max="685" width="10.5703125" style="24" customWidth="1"/>
    <col min="686" max="686" width="12.5703125" style="24" customWidth="1"/>
    <col min="687" max="687" width="12" style="24" customWidth="1"/>
    <col min="688" max="688" width="12.28515625" style="24" customWidth="1"/>
    <col min="689" max="689" width="0" style="24" hidden="1" customWidth="1"/>
    <col min="690" max="690" width="12.42578125" style="24" customWidth="1"/>
    <col min="691" max="691" width="11.28515625" style="24" customWidth="1"/>
    <col min="692" max="693" width="0" style="24" hidden="1" customWidth="1"/>
    <col min="694" max="694" width="8.85546875" style="24" bestFit="1" customWidth="1"/>
    <col min="695" max="932" width="11.42578125" style="24"/>
    <col min="933" max="933" width="5.28515625" style="24" customWidth="1"/>
    <col min="934" max="934" width="25.42578125" style="24" customWidth="1"/>
    <col min="935" max="935" width="14" style="24" customWidth="1"/>
    <col min="936" max="936" width="9.28515625" style="24" customWidth="1"/>
    <col min="937" max="937" width="13.5703125" style="24" customWidth="1"/>
    <col min="938" max="938" width="12.140625" style="24" customWidth="1"/>
    <col min="939" max="939" width="10.7109375" style="24" customWidth="1"/>
    <col min="940" max="940" width="10.42578125" style="24" customWidth="1"/>
    <col min="941" max="941" width="10.5703125" style="24" customWidth="1"/>
    <col min="942" max="942" width="12.5703125" style="24" customWidth="1"/>
    <col min="943" max="943" width="12" style="24" customWidth="1"/>
    <col min="944" max="944" width="12.28515625" style="24" customWidth="1"/>
    <col min="945" max="945" width="0" style="24" hidden="1" customWidth="1"/>
    <col min="946" max="946" width="12.42578125" style="24" customWidth="1"/>
    <col min="947" max="947" width="11.28515625" style="24" customWidth="1"/>
    <col min="948" max="949" width="0" style="24" hidden="1" customWidth="1"/>
    <col min="950" max="950" width="8.85546875" style="24" bestFit="1" customWidth="1"/>
    <col min="951" max="1188" width="11.42578125" style="24"/>
    <col min="1189" max="1189" width="5.28515625" style="24" customWidth="1"/>
    <col min="1190" max="1190" width="25.42578125" style="24" customWidth="1"/>
    <col min="1191" max="1191" width="14" style="24" customWidth="1"/>
    <col min="1192" max="1192" width="9.28515625" style="24" customWidth="1"/>
    <col min="1193" max="1193" width="13.5703125" style="24" customWidth="1"/>
    <col min="1194" max="1194" width="12.140625" style="24" customWidth="1"/>
    <col min="1195" max="1195" width="10.7109375" style="24" customWidth="1"/>
    <col min="1196" max="1196" width="10.42578125" style="24" customWidth="1"/>
    <col min="1197" max="1197" width="10.5703125" style="24" customWidth="1"/>
    <col min="1198" max="1198" width="12.5703125" style="24" customWidth="1"/>
    <col min="1199" max="1199" width="12" style="24" customWidth="1"/>
    <col min="1200" max="1200" width="12.28515625" style="24" customWidth="1"/>
    <col min="1201" max="1201" width="0" style="24" hidden="1" customWidth="1"/>
    <col min="1202" max="1202" width="12.42578125" style="24" customWidth="1"/>
    <col min="1203" max="1203" width="11.28515625" style="24" customWidth="1"/>
    <col min="1204" max="1205" width="0" style="24" hidden="1" customWidth="1"/>
    <col min="1206" max="1206" width="8.85546875" style="24" bestFit="1" customWidth="1"/>
    <col min="1207" max="1444" width="11.42578125" style="24"/>
    <col min="1445" max="1445" width="5.28515625" style="24" customWidth="1"/>
    <col min="1446" max="1446" width="25.42578125" style="24" customWidth="1"/>
    <col min="1447" max="1447" width="14" style="24" customWidth="1"/>
    <col min="1448" max="1448" width="9.28515625" style="24" customWidth="1"/>
    <col min="1449" max="1449" width="13.5703125" style="24" customWidth="1"/>
    <col min="1450" max="1450" width="12.140625" style="24" customWidth="1"/>
    <col min="1451" max="1451" width="10.7109375" style="24" customWidth="1"/>
    <col min="1452" max="1452" width="10.42578125" style="24" customWidth="1"/>
    <col min="1453" max="1453" width="10.5703125" style="24" customWidth="1"/>
    <col min="1454" max="1454" width="12.5703125" style="24" customWidth="1"/>
    <col min="1455" max="1455" width="12" style="24" customWidth="1"/>
    <col min="1456" max="1456" width="12.28515625" style="24" customWidth="1"/>
    <col min="1457" max="1457" width="0" style="24" hidden="1" customWidth="1"/>
    <col min="1458" max="1458" width="12.42578125" style="24" customWidth="1"/>
    <col min="1459" max="1459" width="11.28515625" style="24" customWidth="1"/>
    <col min="1460" max="1461" width="0" style="24" hidden="1" customWidth="1"/>
    <col min="1462" max="1462" width="8.85546875" style="24" bestFit="1" customWidth="1"/>
    <col min="1463" max="1700" width="11.42578125" style="24"/>
    <col min="1701" max="1701" width="5.28515625" style="24" customWidth="1"/>
    <col min="1702" max="1702" width="25.42578125" style="24" customWidth="1"/>
    <col min="1703" max="1703" width="14" style="24" customWidth="1"/>
    <col min="1704" max="1704" width="9.28515625" style="24" customWidth="1"/>
    <col min="1705" max="1705" width="13.5703125" style="24" customWidth="1"/>
    <col min="1706" max="1706" width="12.140625" style="24" customWidth="1"/>
    <col min="1707" max="1707" width="10.7109375" style="24" customWidth="1"/>
    <col min="1708" max="1708" width="10.42578125" style="24" customWidth="1"/>
    <col min="1709" max="1709" width="10.5703125" style="24" customWidth="1"/>
    <col min="1710" max="1710" width="12.5703125" style="24" customWidth="1"/>
    <col min="1711" max="1711" width="12" style="24" customWidth="1"/>
    <col min="1712" max="1712" width="12.28515625" style="24" customWidth="1"/>
    <col min="1713" max="1713" width="0" style="24" hidden="1" customWidth="1"/>
    <col min="1714" max="1714" width="12.42578125" style="24" customWidth="1"/>
    <col min="1715" max="1715" width="11.28515625" style="24" customWidth="1"/>
    <col min="1716" max="1717" width="0" style="24" hidden="1" customWidth="1"/>
    <col min="1718" max="1718" width="8.85546875" style="24" bestFit="1" customWidth="1"/>
    <col min="1719" max="1956" width="11.42578125" style="24"/>
    <col min="1957" max="1957" width="5.28515625" style="24" customWidth="1"/>
    <col min="1958" max="1958" width="25.42578125" style="24" customWidth="1"/>
    <col min="1959" max="1959" width="14" style="24" customWidth="1"/>
    <col min="1960" max="1960" width="9.28515625" style="24" customWidth="1"/>
    <col min="1961" max="1961" width="13.5703125" style="24" customWidth="1"/>
    <col min="1962" max="1962" width="12.140625" style="24" customWidth="1"/>
    <col min="1963" max="1963" width="10.7109375" style="24" customWidth="1"/>
    <col min="1964" max="1964" width="10.42578125" style="24" customWidth="1"/>
    <col min="1965" max="1965" width="10.5703125" style="24" customWidth="1"/>
    <col min="1966" max="1966" width="12.5703125" style="24" customWidth="1"/>
    <col min="1967" max="1967" width="12" style="24" customWidth="1"/>
    <col min="1968" max="1968" width="12.28515625" style="24" customWidth="1"/>
    <col min="1969" max="1969" width="0" style="24" hidden="1" customWidth="1"/>
    <col min="1970" max="1970" width="12.42578125" style="24" customWidth="1"/>
    <col min="1971" max="1971" width="11.28515625" style="24" customWidth="1"/>
    <col min="1972" max="1973" width="0" style="24" hidden="1" customWidth="1"/>
    <col min="1974" max="1974" width="8.85546875" style="24" bestFit="1" customWidth="1"/>
    <col min="1975" max="2212" width="11.42578125" style="24"/>
    <col min="2213" max="2213" width="5.28515625" style="24" customWidth="1"/>
    <col min="2214" max="2214" width="25.42578125" style="24" customWidth="1"/>
    <col min="2215" max="2215" width="14" style="24" customWidth="1"/>
    <col min="2216" max="2216" width="9.28515625" style="24" customWidth="1"/>
    <col min="2217" max="2217" width="13.5703125" style="24" customWidth="1"/>
    <col min="2218" max="2218" width="12.140625" style="24" customWidth="1"/>
    <col min="2219" max="2219" width="10.7109375" style="24" customWidth="1"/>
    <col min="2220" max="2220" width="10.42578125" style="24" customWidth="1"/>
    <col min="2221" max="2221" width="10.5703125" style="24" customWidth="1"/>
    <col min="2222" max="2222" width="12.5703125" style="24" customWidth="1"/>
    <col min="2223" max="2223" width="12" style="24" customWidth="1"/>
    <col min="2224" max="2224" width="12.28515625" style="24" customWidth="1"/>
    <col min="2225" max="2225" width="0" style="24" hidden="1" customWidth="1"/>
    <col min="2226" max="2226" width="12.42578125" style="24" customWidth="1"/>
    <col min="2227" max="2227" width="11.28515625" style="24" customWidth="1"/>
    <col min="2228" max="2229" width="0" style="24" hidden="1" customWidth="1"/>
    <col min="2230" max="2230" width="8.85546875" style="24" bestFit="1" customWidth="1"/>
    <col min="2231" max="2468" width="11.42578125" style="24"/>
    <col min="2469" max="2469" width="5.28515625" style="24" customWidth="1"/>
    <col min="2470" max="2470" width="25.42578125" style="24" customWidth="1"/>
    <col min="2471" max="2471" width="14" style="24" customWidth="1"/>
    <col min="2472" max="2472" width="9.28515625" style="24" customWidth="1"/>
    <col min="2473" max="2473" width="13.5703125" style="24" customWidth="1"/>
    <col min="2474" max="2474" width="12.140625" style="24" customWidth="1"/>
    <col min="2475" max="2475" width="10.7109375" style="24" customWidth="1"/>
    <col min="2476" max="2476" width="10.42578125" style="24" customWidth="1"/>
    <col min="2477" max="2477" width="10.5703125" style="24" customWidth="1"/>
    <col min="2478" max="2478" width="12.5703125" style="24" customWidth="1"/>
    <col min="2479" max="2479" width="12" style="24" customWidth="1"/>
    <col min="2480" max="2480" width="12.28515625" style="24" customWidth="1"/>
    <col min="2481" max="2481" width="0" style="24" hidden="1" customWidth="1"/>
    <col min="2482" max="2482" width="12.42578125" style="24" customWidth="1"/>
    <col min="2483" max="2483" width="11.28515625" style="24" customWidth="1"/>
    <col min="2484" max="2485" width="0" style="24" hidden="1" customWidth="1"/>
    <col min="2486" max="2486" width="8.85546875" style="24" bestFit="1" customWidth="1"/>
    <col min="2487" max="2724" width="11.42578125" style="24"/>
    <col min="2725" max="2725" width="5.28515625" style="24" customWidth="1"/>
    <col min="2726" max="2726" width="25.42578125" style="24" customWidth="1"/>
    <col min="2727" max="2727" width="14" style="24" customWidth="1"/>
    <col min="2728" max="2728" width="9.28515625" style="24" customWidth="1"/>
    <col min="2729" max="2729" width="13.5703125" style="24" customWidth="1"/>
    <col min="2730" max="2730" width="12.140625" style="24" customWidth="1"/>
    <col min="2731" max="2731" width="10.7109375" style="24" customWidth="1"/>
    <col min="2732" max="2732" width="10.42578125" style="24" customWidth="1"/>
    <col min="2733" max="2733" width="10.5703125" style="24" customWidth="1"/>
    <col min="2734" max="2734" width="12.5703125" style="24" customWidth="1"/>
    <col min="2735" max="2735" width="12" style="24" customWidth="1"/>
    <col min="2736" max="2736" width="12.28515625" style="24" customWidth="1"/>
    <col min="2737" max="2737" width="0" style="24" hidden="1" customWidth="1"/>
    <col min="2738" max="2738" width="12.42578125" style="24" customWidth="1"/>
    <col min="2739" max="2739" width="11.28515625" style="24" customWidth="1"/>
    <col min="2740" max="2741" width="0" style="24" hidden="1" customWidth="1"/>
    <col min="2742" max="2742" width="8.85546875" style="24" bestFit="1" customWidth="1"/>
    <col min="2743" max="2980" width="11.42578125" style="24"/>
    <col min="2981" max="2981" width="5.28515625" style="24" customWidth="1"/>
    <col min="2982" max="2982" width="25.42578125" style="24" customWidth="1"/>
    <col min="2983" max="2983" width="14" style="24" customWidth="1"/>
    <col min="2984" max="2984" width="9.28515625" style="24" customWidth="1"/>
    <col min="2985" max="2985" width="13.5703125" style="24" customWidth="1"/>
    <col min="2986" max="2986" width="12.140625" style="24" customWidth="1"/>
    <col min="2987" max="2987" width="10.7109375" style="24" customWidth="1"/>
    <col min="2988" max="2988" width="10.42578125" style="24" customWidth="1"/>
    <col min="2989" max="2989" width="10.5703125" style="24" customWidth="1"/>
    <col min="2990" max="2990" width="12.5703125" style="24" customWidth="1"/>
    <col min="2991" max="2991" width="12" style="24" customWidth="1"/>
    <col min="2992" max="2992" width="12.28515625" style="24" customWidth="1"/>
    <col min="2993" max="2993" width="0" style="24" hidden="1" customWidth="1"/>
    <col min="2994" max="2994" width="12.42578125" style="24" customWidth="1"/>
    <col min="2995" max="2995" width="11.28515625" style="24" customWidth="1"/>
    <col min="2996" max="2997" width="0" style="24" hidden="1" customWidth="1"/>
    <col min="2998" max="2998" width="8.85546875" style="24" bestFit="1" customWidth="1"/>
    <col min="2999" max="3236" width="11.42578125" style="24"/>
    <col min="3237" max="3237" width="5.28515625" style="24" customWidth="1"/>
    <col min="3238" max="3238" width="25.42578125" style="24" customWidth="1"/>
    <col min="3239" max="3239" width="14" style="24" customWidth="1"/>
    <col min="3240" max="3240" width="9.28515625" style="24" customWidth="1"/>
    <col min="3241" max="3241" width="13.5703125" style="24" customWidth="1"/>
    <col min="3242" max="3242" width="12.140625" style="24" customWidth="1"/>
    <col min="3243" max="3243" width="10.7109375" style="24" customWidth="1"/>
    <col min="3244" max="3244" width="10.42578125" style="24" customWidth="1"/>
    <col min="3245" max="3245" width="10.5703125" style="24" customWidth="1"/>
    <col min="3246" max="3246" width="12.5703125" style="24" customWidth="1"/>
    <col min="3247" max="3247" width="12" style="24" customWidth="1"/>
    <col min="3248" max="3248" width="12.28515625" style="24" customWidth="1"/>
    <col min="3249" max="3249" width="0" style="24" hidden="1" customWidth="1"/>
    <col min="3250" max="3250" width="12.42578125" style="24" customWidth="1"/>
    <col min="3251" max="3251" width="11.28515625" style="24" customWidth="1"/>
    <col min="3252" max="3253" width="0" style="24" hidden="1" customWidth="1"/>
    <col min="3254" max="3254" width="8.85546875" style="24" bestFit="1" customWidth="1"/>
    <col min="3255" max="3492" width="11.42578125" style="24"/>
    <col min="3493" max="3493" width="5.28515625" style="24" customWidth="1"/>
    <col min="3494" max="3494" width="25.42578125" style="24" customWidth="1"/>
    <col min="3495" max="3495" width="14" style="24" customWidth="1"/>
    <col min="3496" max="3496" width="9.28515625" style="24" customWidth="1"/>
    <col min="3497" max="3497" width="13.5703125" style="24" customWidth="1"/>
    <col min="3498" max="3498" width="12.140625" style="24" customWidth="1"/>
    <col min="3499" max="3499" width="10.7109375" style="24" customWidth="1"/>
    <col min="3500" max="3500" width="10.42578125" style="24" customWidth="1"/>
    <col min="3501" max="3501" width="10.5703125" style="24" customWidth="1"/>
    <col min="3502" max="3502" width="12.5703125" style="24" customWidth="1"/>
    <col min="3503" max="3503" width="12" style="24" customWidth="1"/>
    <col min="3504" max="3504" width="12.28515625" style="24" customWidth="1"/>
    <col min="3505" max="3505" width="0" style="24" hidden="1" customWidth="1"/>
    <col min="3506" max="3506" width="12.42578125" style="24" customWidth="1"/>
    <col min="3507" max="3507" width="11.28515625" style="24" customWidth="1"/>
    <col min="3508" max="3509" width="0" style="24" hidden="1" customWidth="1"/>
    <col min="3510" max="3510" width="8.85546875" style="24" bestFit="1" customWidth="1"/>
    <col min="3511" max="3748" width="11.42578125" style="24"/>
    <col min="3749" max="3749" width="5.28515625" style="24" customWidth="1"/>
    <col min="3750" max="3750" width="25.42578125" style="24" customWidth="1"/>
    <col min="3751" max="3751" width="14" style="24" customWidth="1"/>
    <col min="3752" max="3752" width="9.28515625" style="24" customWidth="1"/>
    <col min="3753" max="3753" width="13.5703125" style="24" customWidth="1"/>
    <col min="3754" max="3754" width="12.140625" style="24" customWidth="1"/>
    <col min="3755" max="3755" width="10.7109375" style="24" customWidth="1"/>
    <col min="3756" max="3756" width="10.42578125" style="24" customWidth="1"/>
    <col min="3757" max="3757" width="10.5703125" style="24" customWidth="1"/>
    <col min="3758" max="3758" width="12.5703125" style="24" customWidth="1"/>
    <col min="3759" max="3759" width="12" style="24" customWidth="1"/>
    <col min="3760" max="3760" width="12.28515625" style="24" customWidth="1"/>
    <col min="3761" max="3761" width="0" style="24" hidden="1" customWidth="1"/>
    <col min="3762" max="3762" width="12.42578125" style="24" customWidth="1"/>
    <col min="3763" max="3763" width="11.28515625" style="24" customWidth="1"/>
    <col min="3764" max="3765" width="0" style="24" hidden="1" customWidth="1"/>
    <col min="3766" max="3766" width="8.85546875" style="24" bestFit="1" customWidth="1"/>
    <col min="3767" max="4004" width="11.42578125" style="24"/>
    <col min="4005" max="4005" width="5.28515625" style="24" customWidth="1"/>
    <col min="4006" max="4006" width="25.42578125" style="24" customWidth="1"/>
    <col min="4007" max="4007" width="14" style="24" customWidth="1"/>
    <col min="4008" max="4008" width="9.28515625" style="24" customWidth="1"/>
    <col min="4009" max="4009" width="13.5703125" style="24" customWidth="1"/>
    <col min="4010" max="4010" width="12.140625" style="24" customWidth="1"/>
    <col min="4011" max="4011" width="10.7109375" style="24" customWidth="1"/>
    <col min="4012" max="4012" width="10.42578125" style="24" customWidth="1"/>
    <col min="4013" max="4013" width="10.5703125" style="24" customWidth="1"/>
    <col min="4014" max="4014" width="12.5703125" style="24" customWidth="1"/>
    <col min="4015" max="4015" width="12" style="24" customWidth="1"/>
    <col min="4016" max="4016" width="12.28515625" style="24" customWidth="1"/>
    <col min="4017" max="4017" width="0" style="24" hidden="1" customWidth="1"/>
    <col min="4018" max="4018" width="12.42578125" style="24" customWidth="1"/>
    <col min="4019" max="4019" width="11.28515625" style="24" customWidth="1"/>
    <col min="4020" max="4021" width="0" style="24" hidden="1" customWidth="1"/>
    <col min="4022" max="4022" width="8.85546875" style="24" bestFit="1" customWidth="1"/>
    <col min="4023" max="4260" width="11.42578125" style="24"/>
    <col min="4261" max="4261" width="5.28515625" style="24" customWidth="1"/>
    <col min="4262" max="4262" width="25.42578125" style="24" customWidth="1"/>
    <col min="4263" max="4263" width="14" style="24" customWidth="1"/>
    <col min="4264" max="4264" width="9.28515625" style="24" customWidth="1"/>
    <col min="4265" max="4265" width="13.5703125" style="24" customWidth="1"/>
    <col min="4266" max="4266" width="12.140625" style="24" customWidth="1"/>
    <col min="4267" max="4267" width="10.7109375" style="24" customWidth="1"/>
    <col min="4268" max="4268" width="10.42578125" style="24" customWidth="1"/>
    <col min="4269" max="4269" width="10.5703125" style="24" customWidth="1"/>
    <col min="4270" max="4270" width="12.5703125" style="24" customWidth="1"/>
    <col min="4271" max="4271" width="12" style="24" customWidth="1"/>
    <col min="4272" max="4272" width="12.28515625" style="24" customWidth="1"/>
    <col min="4273" max="4273" width="0" style="24" hidden="1" customWidth="1"/>
    <col min="4274" max="4274" width="12.42578125" style="24" customWidth="1"/>
    <col min="4275" max="4275" width="11.28515625" style="24" customWidth="1"/>
    <col min="4276" max="4277" width="0" style="24" hidden="1" customWidth="1"/>
    <col min="4278" max="4278" width="8.85546875" style="24" bestFit="1" customWidth="1"/>
    <col min="4279" max="4516" width="11.42578125" style="24"/>
    <col min="4517" max="4517" width="5.28515625" style="24" customWidth="1"/>
    <col min="4518" max="4518" width="25.42578125" style="24" customWidth="1"/>
    <col min="4519" max="4519" width="14" style="24" customWidth="1"/>
    <col min="4520" max="4520" width="9.28515625" style="24" customWidth="1"/>
    <col min="4521" max="4521" width="13.5703125" style="24" customWidth="1"/>
    <col min="4522" max="4522" width="12.140625" style="24" customWidth="1"/>
    <col min="4523" max="4523" width="10.7109375" style="24" customWidth="1"/>
    <col min="4524" max="4524" width="10.42578125" style="24" customWidth="1"/>
    <col min="4525" max="4525" width="10.5703125" style="24" customWidth="1"/>
    <col min="4526" max="4526" width="12.5703125" style="24" customWidth="1"/>
    <col min="4527" max="4527" width="12" style="24" customWidth="1"/>
    <col min="4528" max="4528" width="12.28515625" style="24" customWidth="1"/>
    <col min="4529" max="4529" width="0" style="24" hidden="1" customWidth="1"/>
    <col min="4530" max="4530" width="12.42578125" style="24" customWidth="1"/>
    <col min="4531" max="4531" width="11.28515625" style="24" customWidth="1"/>
    <col min="4532" max="4533" width="0" style="24" hidden="1" customWidth="1"/>
    <col min="4534" max="4534" width="8.85546875" style="24" bestFit="1" customWidth="1"/>
    <col min="4535" max="4772" width="11.42578125" style="24"/>
    <col min="4773" max="4773" width="5.28515625" style="24" customWidth="1"/>
    <col min="4774" max="4774" width="25.42578125" style="24" customWidth="1"/>
    <col min="4775" max="4775" width="14" style="24" customWidth="1"/>
    <col min="4776" max="4776" width="9.28515625" style="24" customWidth="1"/>
    <col min="4777" max="4777" width="13.5703125" style="24" customWidth="1"/>
    <col min="4778" max="4778" width="12.140625" style="24" customWidth="1"/>
    <col min="4779" max="4779" width="10.7109375" style="24" customWidth="1"/>
    <col min="4780" max="4780" width="10.42578125" style="24" customWidth="1"/>
    <col min="4781" max="4781" width="10.5703125" style="24" customWidth="1"/>
    <col min="4782" max="4782" width="12.5703125" style="24" customWidth="1"/>
    <col min="4783" max="4783" width="12" style="24" customWidth="1"/>
    <col min="4784" max="4784" width="12.28515625" style="24" customWidth="1"/>
    <col min="4785" max="4785" width="0" style="24" hidden="1" customWidth="1"/>
    <col min="4786" max="4786" width="12.42578125" style="24" customWidth="1"/>
    <col min="4787" max="4787" width="11.28515625" style="24" customWidth="1"/>
    <col min="4788" max="4789" width="0" style="24" hidden="1" customWidth="1"/>
    <col min="4790" max="4790" width="8.85546875" style="24" bestFit="1" customWidth="1"/>
    <col min="4791" max="5028" width="11.42578125" style="24"/>
    <col min="5029" max="5029" width="5.28515625" style="24" customWidth="1"/>
    <col min="5030" max="5030" width="25.42578125" style="24" customWidth="1"/>
    <col min="5031" max="5031" width="14" style="24" customWidth="1"/>
    <col min="5032" max="5032" width="9.28515625" style="24" customWidth="1"/>
    <col min="5033" max="5033" width="13.5703125" style="24" customWidth="1"/>
    <col min="5034" max="5034" width="12.140625" style="24" customWidth="1"/>
    <col min="5035" max="5035" width="10.7109375" style="24" customWidth="1"/>
    <col min="5036" max="5036" width="10.42578125" style="24" customWidth="1"/>
    <col min="5037" max="5037" width="10.5703125" style="24" customWidth="1"/>
    <col min="5038" max="5038" width="12.5703125" style="24" customWidth="1"/>
    <col min="5039" max="5039" width="12" style="24" customWidth="1"/>
    <col min="5040" max="5040" width="12.28515625" style="24" customWidth="1"/>
    <col min="5041" max="5041" width="0" style="24" hidden="1" customWidth="1"/>
    <col min="5042" max="5042" width="12.42578125" style="24" customWidth="1"/>
    <col min="5043" max="5043" width="11.28515625" style="24" customWidth="1"/>
    <col min="5044" max="5045" width="0" style="24" hidden="1" customWidth="1"/>
    <col min="5046" max="5046" width="8.85546875" style="24" bestFit="1" customWidth="1"/>
    <col min="5047" max="5284" width="11.42578125" style="24"/>
    <col min="5285" max="5285" width="5.28515625" style="24" customWidth="1"/>
    <col min="5286" max="5286" width="25.42578125" style="24" customWidth="1"/>
    <col min="5287" max="5287" width="14" style="24" customWidth="1"/>
    <col min="5288" max="5288" width="9.28515625" style="24" customWidth="1"/>
    <col min="5289" max="5289" width="13.5703125" style="24" customWidth="1"/>
    <col min="5290" max="5290" width="12.140625" style="24" customWidth="1"/>
    <col min="5291" max="5291" width="10.7109375" style="24" customWidth="1"/>
    <col min="5292" max="5292" width="10.42578125" style="24" customWidth="1"/>
    <col min="5293" max="5293" width="10.5703125" style="24" customWidth="1"/>
    <col min="5294" max="5294" width="12.5703125" style="24" customWidth="1"/>
    <col min="5295" max="5295" width="12" style="24" customWidth="1"/>
    <col min="5296" max="5296" width="12.28515625" style="24" customWidth="1"/>
    <col min="5297" max="5297" width="0" style="24" hidden="1" customWidth="1"/>
    <col min="5298" max="5298" width="12.42578125" style="24" customWidth="1"/>
    <col min="5299" max="5299" width="11.28515625" style="24" customWidth="1"/>
    <col min="5300" max="5301" width="0" style="24" hidden="1" customWidth="1"/>
    <col min="5302" max="5302" width="8.85546875" style="24" bestFit="1" customWidth="1"/>
    <col min="5303" max="5540" width="11.42578125" style="24"/>
    <col min="5541" max="5541" width="5.28515625" style="24" customWidth="1"/>
    <col min="5542" max="5542" width="25.42578125" style="24" customWidth="1"/>
    <col min="5543" max="5543" width="14" style="24" customWidth="1"/>
    <col min="5544" max="5544" width="9.28515625" style="24" customWidth="1"/>
    <col min="5545" max="5545" width="13.5703125" style="24" customWidth="1"/>
    <col min="5546" max="5546" width="12.140625" style="24" customWidth="1"/>
    <col min="5547" max="5547" width="10.7109375" style="24" customWidth="1"/>
    <col min="5548" max="5548" width="10.42578125" style="24" customWidth="1"/>
    <col min="5549" max="5549" width="10.5703125" style="24" customWidth="1"/>
    <col min="5550" max="5550" width="12.5703125" style="24" customWidth="1"/>
    <col min="5551" max="5551" width="12" style="24" customWidth="1"/>
    <col min="5552" max="5552" width="12.28515625" style="24" customWidth="1"/>
    <col min="5553" max="5553" width="0" style="24" hidden="1" customWidth="1"/>
    <col min="5554" max="5554" width="12.42578125" style="24" customWidth="1"/>
    <col min="5555" max="5555" width="11.28515625" style="24" customWidth="1"/>
    <col min="5556" max="5557" width="0" style="24" hidden="1" customWidth="1"/>
    <col min="5558" max="5558" width="8.85546875" style="24" bestFit="1" customWidth="1"/>
    <col min="5559" max="5796" width="11.42578125" style="24"/>
    <col min="5797" max="5797" width="5.28515625" style="24" customWidth="1"/>
    <col min="5798" max="5798" width="25.42578125" style="24" customWidth="1"/>
    <col min="5799" max="5799" width="14" style="24" customWidth="1"/>
    <col min="5800" max="5800" width="9.28515625" style="24" customWidth="1"/>
    <col min="5801" max="5801" width="13.5703125" style="24" customWidth="1"/>
    <col min="5802" max="5802" width="12.140625" style="24" customWidth="1"/>
    <col min="5803" max="5803" width="10.7109375" style="24" customWidth="1"/>
    <col min="5804" max="5804" width="10.42578125" style="24" customWidth="1"/>
    <col min="5805" max="5805" width="10.5703125" style="24" customWidth="1"/>
    <col min="5806" max="5806" width="12.5703125" style="24" customWidth="1"/>
    <col min="5807" max="5807" width="12" style="24" customWidth="1"/>
    <col min="5808" max="5808" width="12.28515625" style="24" customWidth="1"/>
    <col min="5809" max="5809" width="0" style="24" hidden="1" customWidth="1"/>
    <col min="5810" max="5810" width="12.42578125" style="24" customWidth="1"/>
    <col min="5811" max="5811" width="11.28515625" style="24" customWidth="1"/>
    <col min="5812" max="5813" width="0" style="24" hidden="1" customWidth="1"/>
    <col min="5814" max="5814" width="8.85546875" style="24" bestFit="1" customWidth="1"/>
    <col min="5815" max="6052" width="11.42578125" style="24"/>
    <col min="6053" max="6053" width="5.28515625" style="24" customWidth="1"/>
    <col min="6054" max="6054" width="25.42578125" style="24" customWidth="1"/>
    <col min="6055" max="6055" width="14" style="24" customWidth="1"/>
    <col min="6056" max="6056" width="9.28515625" style="24" customWidth="1"/>
    <col min="6057" max="6057" width="13.5703125" style="24" customWidth="1"/>
    <col min="6058" max="6058" width="12.140625" style="24" customWidth="1"/>
    <col min="6059" max="6059" width="10.7109375" style="24" customWidth="1"/>
    <col min="6060" max="6060" width="10.42578125" style="24" customWidth="1"/>
    <col min="6061" max="6061" width="10.5703125" style="24" customWidth="1"/>
    <col min="6062" max="6062" width="12.5703125" style="24" customWidth="1"/>
    <col min="6063" max="6063" width="12" style="24" customWidth="1"/>
    <col min="6064" max="6064" width="12.28515625" style="24" customWidth="1"/>
    <col min="6065" max="6065" width="0" style="24" hidden="1" customWidth="1"/>
    <col min="6066" max="6066" width="12.42578125" style="24" customWidth="1"/>
    <col min="6067" max="6067" width="11.28515625" style="24" customWidth="1"/>
    <col min="6068" max="6069" width="0" style="24" hidden="1" customWidth="1"/>
    <col min="6070" max="6070" width="8.85546875" style="24" bestFit="1" customWidth="1"/>
    <col min="6071" max="6308" width="11.42578125" style="24"/>
    <col min="6309" max="6309" width="5.28515625" style="24" customWidth="1"/>
    <col min="6310" max="6310" width="25.42578125" style="24" customWidth="1"/>
    <col min="6311" max="6311" width="14" style="24" customWidth="1"/>
    <col min="6312" max="6312" width="9.28515625" style="24" customWidth="1"/>
    <col min="6313" max="6313" width="13.5703125" style="24" customWidth="1"/>
    <col min="6314" max="6314" width="12.140625" style="24" customWidth="1"/>
    <col min="6315" max="6315" width="10.7109375" style="24" customWidth="1"/>
    <col min="6316" max="6316" width="10.42578125" style="24" customWidth="1"/>
    <col min="6317" max="6317" width="10.5703125" style="24" customWidth="1"/>
    <col min="6318" max="6318" width="12.5703125" style="24" customWidth="1"/>
    <col min="6319" max="6319" width="12" style="24" customWidth="1"/>
    <col min="6320" max="6320" width="12.28515625" style="24" customWidth="1"/>
    <col min="6321" max="6321" width="0" style="24" hidden="1" customWidth="1"/>
    <col min="6322" max="6322" width="12.42578125" style="24" customWidth="1"/>
    <col min="6323" max="6323" width="11.28515625" style="24" customWidth="1"/>
    <col min="6324" max="6325" width="0" style="24" hidden="1" customWidth="1"/>
    <col min="6326" max="6326" width="8.85546875" style="24" bestFit="1" customWidth="1"/>
    <col min="6327" max="6564" width="11.42578125" style="24"/>
    <col min="6565" max="6565" width="5.28515625" style="24" customWidth="1"/>
    <col min="6566" max="6566" width="25.42578125" style="24" customWidth="1"/>
    <col min="6567" max="6567" width="14" style="24" customWidth="1"/>
    <col min="6568" max="6568" width="9.28515625" style="24" customWidth="1"/>
    <col min="6569" max="6569" width="13.5703125" style="24" customWidth="1"/>
    <col min="6570" max="6570" width="12.140625" style="24" customWidth="1"/>
    <col min="6571" max="6571" width="10.7109375" style="24" customWidth="1"/>
    <col min="6572" max="6572" width="10.42578125" style="24" customWidth="1"/>
    <col min="6573" max="6573" width="10.5703125" style="24" customWidth="1"/>
    <col min="6574" max="6574" width="12.5703125" style="24" customWidth="1"/>
    <col min="6575" max="6575" width="12" style="24" customWidth="1"/>
    <col min="6576" max="6576" width="12.28515625" style="24" customWidth="1"/>
    <col min="6577" max="6577" width="0" style="24" hidden="1" customWidth="1"/>
    <col min="6578" max="6578" width="12.42578125" style="24" customWidth="1"/>
    <col min="6579" max="6579" width="11.28515625" style="24" customWidth="1"/>
    <col min="6580" max="6581" width="0" style="24" hidden="1" customWidth="1"/>
    <col min="6582" max="6582" width="8.85546875" style="24" bestFit="1" customWidth="1"/>
    <col min="6583" max="6820" width="11.42578125" style="24"/>
    <col min="6821" max="6821" width="5.28515625" style="24" customWidth="1"/>
    <col min="6822" max="6822" width="25.42578125" style="24" customWidth="1"/>
    <col min="6823" max="6823" width="14" style="24" customWidth="1"/>
    <col min="6824" max="6824" width="9.28515625" style="24" customWidth="1"/>
    <col min="6825" max="6825" width="13.5703125" style="24" customWidth="1"/>
    <col min="6826" max="6826" width="12.140625" style="24" customWidth="1"/>
    <col min="6827" max="6827" width="10.7109375" style="24" customWidth="1"/>
    <col min="6828" max="6828" width="10.42578125" style="24" customWidth="1"/>
    <col min="6829" max="6829" width="10.5703125" style="24" customWidth="1"/>
    <col min="6830" max="6830" width="12.5703125" style="24" customWidth="1"/>
    <col min="6831" max="6831" width="12" style="24" customWidth="1"/>
    <col min="6832" max="6832" width="12.28515625" style="24" customWidth="1"/>
    <col min="6833" max="6833" width="0" style="24" hidden="1" customWidth="1"/>
    <col min="6834" max="6834" width="12.42578125" style="24" customWidth="1"/>
    <col min="6835" max="6835" width="11.28515625" style="24" customWidth="1"/>
    <col min="6836" max="6837" width="0" style="24" hidden="1" customWidth="1"/>
    <col min="6838" max="6838" width="8.85546875" style="24" bestFit="1" customWidth="1"/>
    <col min="6839" max="7076" width="11.42578125" style="24"/>
    <col min="7077" max="7077" width="5.28515625" style="24" customWidth="1"/>
    <col min="7078" max="7078" width="25.42578125" style="24" customWidth="1"/>
    <col min="7079" max="7079" width="14" style="24" customWidth="1"/>
    <col min="7080" max="7080" width="9.28515625" style="24" customWidth="1"/>
    <col min="7081" max="7081" width="13.5703125" style="24" customWidth="1"/>
    <col min="7082" max="7082" width="12.140625" style="24" customWidth="1"/>
    <col min="7083" max="7083" width="10.7109375" style="24" customWidth="1"/>
    <col min="7084" max="7084" width="10.42578125" style="24" customWidth="1"/>
    <col min="7085" max="7085" width="10.5703125" style="24" customWidth="1"/>
    <col min="7086" max="7086" width="12.5703125" style="24" customWidth="1"/>
    <col min="7087" max="7087" width="12" style="24" customWidth="1"/>
    <col min="7088" max="7088" width="12.28515625" style="24" customWidth="1"/>
    <col min="7089" max="7089" width="0" style="24" hidden="1" customWidth="1"/>
    <col min="7090" max="7090" width="12.42578125" style="24" customWidth="1"/>
    <col min="7091" max="7091" width="11.28515625" style="24" customWidth="1"/>
    <col min="7092" max="7093" width="0" style="24" hidden="1" customWidth="1"/>
    <col min="7094" max="7094" width="8.85546875" style="24" bestFit="1" customWidth="1"/>
    <col min="7095" max="7332" width="11.42578125" style="24"/>
    <col min="7333" max="7333" width="5.28515625" style="24" customWidth="1"/>
    <col min="7334" max="7334" width="25.42578125" style="24" customWidth="1"/>
    <col min="7335" max="7335" width="14" style="24" customWidth="1"/>
    <col min="7336" max="7336" width="9.28515625" style="24" customWidth="1"/>
    <col min="7337" max="7337" width="13.5703125" style="24" customWidth="1"/>
    <col min="7338" max="7338" width="12.140625" style="24" customWidth="1"/>
    <col min="7339" max="7339" width="10.7109375" style="24" customWidth="1"/>
    <col min="7340" max="7340" width="10.42578125" style="24" customWidth="1"/>
    <col min="7341" max="7341" width="10.5703125" style="24" customWidth="1"/>
    <col min="7342" max="7342" width="12.5703125" style="24" customWidth="1"/>
    <col min="7343" max="7343" width="12" style="24" customWidth="1"/>
    <col min="7344" max="7344" width="12.28515625" style="24" customWidth="1"/>
    <col min="7345" max="7345" width="0" style="24" hidden="1" customWidth="1"/>
    <col min="7346" max="7346" width="12.42578125" style="24" customWidth="1"/>
    <col min="7347" max="7347" width="11.28515625" style="24" customWidth="1"/>
    <col min="7348" max="7349" width="0" style="24" hidden="1" customWidth="1"/>
    <col min="7350" max="7350" width="8.85546875" style="24" bestFit="1" customWidth="1"/>
    <col min="7351" max="7588" width="11.42578125" style="24"/>
    <col min="7589" max="7589" width="5.28515625" style="24" customWidth="1"/>
    <col min="7590" max="7590" width="25.42578125" style="24" customWidth="1"/>
    <col min="7591" max="7591" width="14" style="24" customWidth="1"/>
    <col min="7592" max="7592" width="9.28515625" style="24" customWidth="1"/>
    <col min="7593" max="7593" width="13.5703125" style="24" customWidth="1"/>
    <col min="7594" max="7594" width="12.140625" style="24" customWidth="1"/>
    <col min="7595" max="7595" width="10.7109375" style="24" customWidth="1"/>
    <col min="7596" max="7596" width="10.42578125" style="24" customWidth="1"/>
    <col min="7597" max="7597" width="10.5703125" style="24" customWidth="1"/>
    <col min="7598" max="7598" width="12.5703125" style="24" customWidth="1"/>
    <col min="7599" max="7599" width="12" style="24" customWidth="1"/>
    <col min="7600" max="7600" width="12.28515625" style="24" customWidth="1"/>
    <col min="7601" max="7601" width="0" style="24" hidden="1" customWidth="1"/>
    <col min="7602" max="7602" width="12.42578125" style="24" customWidth="1"/>
    <col min="7603" max="7603" width="11.28515625" style="24" customWidth="1"/>
    <col min="7604" max="7605" width="0" style="24" hidden="1" customWidth="1"/>
    <col min="7606" max="7606" width="8.85546875" style="24" bestFit="1" customWidth="1"/>
    <col min="7607" max="7844" width="11.42578125" style="24"/>
    <col min="7845" max="7845" width="5.28515625" style="24" customWidth="1"/>
    <col min="7846" max="7846" width="25.42578125" style="24" customWidth="1"/>
    <col min="7847" max="7847" width="14" style="24" customWidth="1"/>
    <col min="7848" max="7848" width="9.28515625" style="24" customWidth="1"/>
    <col min="7849" max="7849" width="13.5703125" style="24" customWidth="1"/>
    <col min="7850" max="7850" width="12.140625" style="24" customWidth="1"/>
    <col min="7851" max="7851" width="10.7109375" style="24" customWidth="1"/>
    <col min="7852" max="7852" width="10.42578125" style="24" customWidth="1"/>
    <col min="7853" max="7853" width="10.5703125" style="24" customWidth="1"/>
    <col min="7854" max="7854" width="12.5703125" style="24" customWidth="1"/>
    <col min="7855" max="7855" width="12" style="24" customWidth="1"/>
    <col min="7856" max="7856" width="12.28515625" style="24" customWidth="1"/>
    <col min="7857" max="7857" width="0" style="24" hidden="1" customWidth="1"/>
    <col min="7858" max="7858" width="12.42578125" style="24" customWidth="1"/>
    <col min="7859" max="7859" width="11.28515625" style="24" customWidth="1"/>
    <col min="7860" max="7861" width="0" style="24" hidden="1" customWidth="1"/>
    <col min="7862" max="7862" width="8.85546875" style="24" bestFit="1" customWidth="1"/>
    <col min="7863" max="8100" width="11.42578125" style="24"/>
    <col min="8101" max="8101" width="5.28515625" style="24" customWidth="1"/>
    <col min="8102" max="8102" width="25.42578125" style="24" customWidth="1"/>
    <col min="8103" max="8103" width="14" style="24" customWidth="1"/>
    <col min="8104" max="8104" width="9.28515625" style="24" customWidth="1"/>
    <col min="8105" max="8105" width="13.5703125" style="24" customWidth="1"/>
    <col min="8106" max="8106" width="12.140625" style="24" customWidth="1"/>
    <col min="8107" max="8107" width="10.7109375" style="24" customWidth="1"/>
    <col min="8108" max="8108" width="10.42578125" style="24" customWidth="1"/>
    <col min="8109" max="8109" width="10.5703125" style="24" customWidth="1"/>
    <col min="8110" max="8110" width="12.5703125" style="24" customWidth="1"/>
    <col min="8111" max="8111" width="12" style="24" customWidth="1"/>
    <col min="8112" max="8112" width="12.28515625" style="24" customWidth="1"/>
    <col min="8113" max="8113" width="0" style="24" hidden="1" customWidth="1"/>
    <col min="8114" max="8114" width="12.42578125" style="24" customWidth="1"/>
    <col min="8115" max="8115" width="11.28515625" style="24" customWidth="1"/>
    <col min="8116" max="8117" width="0" style="24" hidden="1" customWidth="1"/>
    <col min="8118" max="8118" width="8.85546875" style="24" bestFit="1" customWidth="1"/>
    <col min="8119" max="8356" width="11.42578125" style="24"/>
    <col min="8357" max="8357" width="5.28515625" style="24" customWidth="1"/>
    <col min="8358" max="8358" width="25.42578125" style="24" customWidth="1"/>
    <col min="8359" max="8359" width="14" style="24" customWidth="1"/>
    <col min="8360" max="8360" width="9.28515625" style="24" customWidth="1"/>
    <col min="8361" max="8361" width="13.5703125" style="24" customWidth="1"/>
    <col min="8362" max="8362" width="12.140625" style="24" customWidth="1"/>
    <col min="8363" max="8363" width="10.7109375" style="24" customWidth="1"/>
    <col min="8364" max="8364" width="10.42578125" style="24" customWidth="1"/>
    <col min="8365" max="8365" width="10.5703125" style="24" customWidth="1"/>
    <col min="8366" max="8366" width="12.5703125" style="24" customWidth="1"/>
    <col min="8367" max="8367" width="12" style="24" customWidth="1"/>
    <col min="8368" max="8368" width="12.28515625" style="24" customWidth="1"/>
    <col min="8369" max="8369" width="0" style="24" hidden="1" customWidth="1"/>
    <col min="8370" max="8370" width="12.42578125" style="24" customWidth="1"/>
    <col min="8371" max="8371" width="11.28515625" style="24" customWidth="1"/>
    <col min="8372" max="8373" width="0" style="24" hidden="1" customWidth="1"/>
    <col min="8374" max="8374" width="8.85546875" style="24" bestFit="1" customWidth="1"/>
    <col min="8375" max="8612" width="11.42578125" style="24"/>
    <col min="8613" max="8613" width="5.28515625" style="24" customWidth="1"/>
    <col min="8614" max="8614" width="25.42578125" style="24" customWidth="1"/>
    <col min="8615" max="8615" width="14" style="24" customWidth="1"/>
    <col min="8616" max="8616" width="9.28515625" style="24" customWidth="1"/>
    <col min="8617" max="8617" width="13.5703125" style="24" customWidth="1"/>
    <col min="8618" max="8618" width="12.140625" style="24" customWidth="1"/>
    <col min="8619" max="8619" width="10.7109375" style="24" customWidth="1"/>
    <col min="8620" max="8620" width="10.42578125" style="24" customWidth="1"/>
    <col min="8621" max="8621" width="10.5703125" style="24" customWidth="1"/>
    <col min="8622" max="8622" width="12.5703125" style="24" customWidth="1"/>
    <col min="8623" max="8623" width="12" style="24" customWidth="1"/>
    <col min="8624" max="8624" width="12.28515625" style="24" customWidth="1"/>
    <col min="8625" max="8625" width="0" style="24" hidden="1" customWidth="1"/>
    <col min="8626" max="8626" width="12.42578125" style="24" customWidth="1"/>
    <col min="8627" max="8627" width="11.28515625" style="24" customWidth="1"/>
    <col min="8628" max="8629" width="0" style="24" hidden="1" customWidth="1"/>
    <col min="8630" max="8630" width="8.85546875" style="24" bestFit="1" customWidth="1"/>
    <col min="8631" max="8868" width="11.42578125" style="24"/>
    <col min="8869" max="8869" width="5.28515625" style="24" customWidth="1"/>
    <col min="8870" max="8870" width="25.42578125" style="24" customWidth="1"/>
    <col min="8871" max="8871" width="14" style="24" customWidth="1"/>
    <col min="8872" max="8872" width="9.28515625" style="24" customWidth="1"/>
    <col min="8873" max="8873" width="13.5703125" style="24" customWidth="1"/>
    <col min="8874" max="8874" width="12.140625" style="24" customWidth="1"/>
    <col min="8875" max="8875" width="10.7109375" style="24" customWidth="1"/>
    <col min="8876" max="8876" width="10.42578125" style="24" customWidth="1"/>
    <col min="8877" max="8877" width="10.5703125" style="24" customWidth="1"/>
    <col min="8878" max="8878" width="12.5703125" style="24" customWidth="1"/>
    <col min="8879" max="8879" width="12" style="24" customWidth="1"/>
    <col min="8880" max="8880" width="12.28515625" style="24" customWidth="1"/>
    <col min="8881" max="8881" width="0" style="24" hidden="1" customWidth="1"/>
    <col min="8882" max="8882" width="12.42578125" style="24" customWidth="1"/>
    <col min="8883" max="8883" width="11.28515625" style="24" customWidth="1"/>
    <col min="8884" max="8885" width="0" style="24" hidden="1" customWidth="1"/>
    <col min="8886" max="8886" width="8.85546875" style="24" bestFit="1" customWidth="1"/>
    <col min="8887" max="9124" width="11.42578125" style="24"/>
    <col min="9125" max="9125" width="5.28515625" style="24" customWidth="1"/>
    <col min="9126" max="9126" width="25.42578125" style="24" customWidth="1"/>
    <col min="9127" max="9127" width="14" style="24" customWidth="1"/>
    <col min="9128" max="9128" width="9.28515625" style="24" customWidth="1"/>
    <col min="9129" max="9129" width="13.5703125" style="24" customWidth="1"/>
    <col min="9130" max="9130" width="12.140625" style="24" customWidth="1"/>
    <col min="9131" max="9131" width="10.7109375" style="24" customWidth="1"/>
    <col min="9132" max="9132" width="10.42578125" style="24" customWidth="1"/>
    <col min="9133" max="9133" width="10.5703125" style="24" customWidth="1"/>
    <col min="9134" max="9134" width="12.5703125" style="24" customWidth="1"/>
    <col min="9135" max="9135" width="12" style="24" customWidth="1"/>
    <col min="9136" max="9136" width="12.28515625" style="24" customWidth="1"/>
    <col min="9137" max="9137" width="0" style="24" hidden="1" customWidth="1"/>
    <col min="9138" max="9138" width="12.42578125" style="24" customWidth="1"/>
    <col min="9139" max="9139" width="11.28515625" style="24" customWidth="1"/>
    <col min="9140" max="9141" width="0" style="24" hidden="1" customWidth="1"/>
    <col min="9142" max="9142" width="8.85546875" style="24" bestFit="1" customWidth="1"/>
    <col min="9143" max="9380" width="11.42578125" style="24"/>
    <col min="9381" max="9381" width="5.28515625" style="24" customWidth="1"/>
    <col min="9382" max="9382" width="25.42578125" style="24" customWidth="1"/>
    <col min="9383" max="9383" width="14" style="24" customWidth="1"/>
    <col min="9384" max="9384" width="9.28515625" style="24" customWidth="1"/>
    <col min="9385" max="9385" width="13.5703125" style="24" customWidth="1"/>
    <col min="9386" max="9386" width="12.140625" style="24" customWidth="1"/>
    <col min="9387" max="9387" width="10.7109375" style="24" customWidth="1"/>
    <col min="9388" max="9388" width="10.42578125" style="24" customWidth="1"/>
    <col min="9389" max="9389" width="10.5703125" style="24" customWidth="1"/>
    <col min="9390" max="9390" width="12.5703125" style="24" customWidth="1"/>
    <col min="9391" max="9391" width="12" style="24" customWidth="1"/>
    <col min="9392" max="9392" width="12.28515625" style="24" customWidth="1"/>
    <col min="9393" max="9393" width="0" style="24" hidden="1" customWidth="1"/>
    <col min="9394" max="9394" width="12.42578125" style="24" customWidth="1"/>
    <col min="9395" max="9395" width="11.28515625" style="24" customWidth="1"/>
    <col min="9396" max="9397" width="0" style="24" hidden="1" customWidth="1"/>
    <col min="9398" max="9398" width="8.85546875" style="24" bestFit="1" customWidth="1"/>
    <col min="9399" max="9636" width="11.42578125" style="24"/>
    <col min="9637" max="9637" width="5.28515625" style="24" customWidth="1"/>
    <col min="9638" max="9638" width="25.42578125" style="24" customWidth="1"/>
    <col min="9639" max="9639" width="14" style="24" customWidth="1"/>
    <col min="9640" max="9640" width="9.28515625" style="24" customWidth="1"/>
    <col min="9641" max="9641" width="13.5703125" style="24" customWidth="1"/>
    <col min="9642" max="9642" width="12.140625" style="24" customWidth="1"/>
    <col min="9643" max="9643" width="10.7109375" style="24" customWidth="1"/>
    <col min="9644" max="9644" width="10.42578125" style="24" customWidth="1"/>
    <col min="9645" max="9645" width="10.5703125" style="24" customWidth="1"/>
    <col min="9646" max="9646" width="12.5703125" style="24" customWidth="1"/>
    <col min="9647" max="9647" width="12" style="24" customWidth="1"/>
    <col min="9648" max="9648" width="12.28515625" style="24" customWidth="1"/>
    <col min="9649" max="9649" width="0" style="24" hidden="1" customWidth="1"/>
    <col min="9650" max="9650" width="12.42578125" style="24" customWidth="1"/>
    <col min="9651" max="9651" width="11.28515625" style="24" customWidth="1"/>
    <col min="9652" max="9653" width="0" style="24" hidden="1" customWidth="1"/>
    <col min="9654" max="9654" width="8.85546875" style="24" bestFit="1" customWidth="1"/>
    <col min="9655" max="9892" width="11.42578125" style="24"/>
    <col min="9893" max="9893" width="5.28515625" style="24" customWidth="1"/>
    <col min="9894" max="9894" width="25.42578125" style="24" customWidth="1"/>
    <col min="9895" max="9895" width="14" style="24" customWidth="1"/>
    <col min="9896" max="9896" width="9.28515625" style="24" customWidth="1"/>
    <col min="9897" max="9897" width="13.5703125" style="24" customWidth="1"/>
    <col min="9898" max="9898" width="12.140625" style="24" customWidth="1"/>
    <col min="9899" max="9899" width="10.7109375" style="24" customWidth="1"/>
    <col min="9900" max="9900" width="10.42578125" style="24" customWidth="1"/>
    <col min="9901" max="9901" width="10.5703125" style="24" customWidth="1"/>
    <col min="9902" max="9902" width="12.5703125" style="24" customWidth="1"/>
    <col min="9903" max="9903" width="12" style="24" customWidth="1"/>
    <col min="9904" max="9904" width="12.28515625" style="24" customWidth="1"/>
    <col min="9905" max="9905" width="0" style="24" hidden="1" customWidth="1"/>
    <col min="9906" max="9906" width="12.42578125" style="24" customWidth="1"/>
    <col min="9907" max="9907" width="11.28515625" style="24" customWidth="1"/>
    <col min="9908" max="9909" width="0" style="24" hidden="1" customWidth="1"/>
    <col min="9910" max="9910" width="8.85546875" style="24" bestFit="1" customWidth="1"/>
    <col min="9911" max="10148" width="11.42578125" style="24"/>
    <col min="10149" max="10149" width="5.28515625" style="24" customWidth="1"/>
    <col min="10150" max="10150" width="25.42578125" style="24" customWidth="1"/>
    <col min="10151" max="10151" width="14" style="24" customWidth="1"/>
    <col min="10152" max="10152" width="9.28515625" style="24" customWidth="1"/>
    <col min="10153" max="10153" width="13.5703125" style="24" customWidth="1"/>
    <col min="10154" max="10154" width="12.140625" style="24" customWidth="1"/>
    <col min="10155" max="10155" width="10.7109375" style="24" customWidth="1"/>
    <col min="10156" max="10156" width="10.42578125" style="24" customWidth="1"/>
    <col min="10157" max="10157" width="10.5703125" style="24" customWidth="1"/>
    <col min="10158" max="10158" width="12.5703125" style="24" customWidth="1"/>
    <col min="10159" max="10159" width="12" style="24" customWidth="1"/>
    <col min="10160" max="10160" width="12.28515625" style="24" customWidth="1"/>
    <col min="10161" max="10161" width="0" style="24" hidden="1" customWidth="1"/>
    <col min="10162" max="10162" width="12.42578125" style="24" customWidth="1"/>
    <col min="10163" max="10163" width="11.28515625" style="24" customWidth="1"/>
    <col min="10164" max="10165" width="0" style="24" hidden="1" customWidth="1"/>
    <col min="10166" max="10166" width="8.85546875" style="24" bestFit="1" customWidth="1"/>
    <col min="10167" max="10404" width="11.42578125" style="24"/>
    <col min="10405" max="10405" width="5.28515625" style="24" customWidth="1"/>
    <col min="10406" max="10406" width="25.42578125" style="24" customWidth="1"/>
    <col min="10407" max="10407" width="14" style="24" customWidth="1"/>
    <col min="10408" max="10408" width="9.28515625" style="24" customWidth="1"/>
    <col min="10409" max="10409" width="13.5703125" style="24" customWidth="1"/>
    <col min="10410" max="10410" width="12.140625" style="24" customWidth="1"/>
    <col min="10411" max="10411" width="10.7109375" style="24" customWidth="1"/>
    <col min="10412" max="10412" width="10.42578125" style="24" customWidth="1"/>
    <col min="10413" max="10413" width="10.5703125" style="24" customWidth="1"/>
    <col min="10414" max="10414" width="12.5703125" style="24" customWidth="1"/>
    <col min="10415" max="10415" width="12" style="24" customWidth="1"/>
    <col min="10416" max="10416" width="12.28515625" style="24" customWidth="1"/>
    <col min="10417" max="10417" width="0" style="24" hidden="1" customWidth="1"/>
    <col min="10418" max="10418" width="12.42578125" style="24" customWidth="1"/>
    <col min="10419" max="10419" width="11.28515625" style="24" customWidth="1"/>
    <col min="10420" max="10421" width="0" style="24" hidden="1" customWidth="1"/>
    <col min="10422" max="10422" width="8.85546875" style="24" bestFit="1" customWidth="1"/>
    <col min="10423" max="10660" width="11.42578125" style="24"/>
    <col min="10661" max="10661" width="5.28515625" style="24" customWidth="1"/>
    <col min="10662" max="10662" width="25.42578125" style="24" customWidth="1"/>
    <col min="10663" max="10663" width="14" style="24" customWidth="1"/>
    <col min="10664" max="10664" width="9.28515625" style="24" customWidth="1"/>
    <col min="10665" max="10665" width="13.5703125" style="24" customWidth="1"/>
    <col min="10666" max="10666" width="12.140625" style="24" customWidth="1"/>
    <col min="10667" max="10667" width="10.7109375" style="24" customWidth="1"/>
    <col min="10668" max="10668" width="10.42578125" style="24" customWidth="1"/>
    <col min="10669" max="10669" width="10.5703125" style="24" customWidth="1"/>
    <col min="10670" max="10670" width="12.5703125" style="24" customWidth="1"/>
    <col min="10671" max="10671" width="12" style="24" customWidth="1"/>
    <col min="10672" max="10672" width="12.28515625" style="24" customWidth="1"/>
    <col min="10673" max="10673" width="0" style="24" hidden="1" customWidth="1"/>
    <col min="10674" max="10674" width="12.42578125" style="24" customWidth="1"/>
    <col min="10675" max="10675" width="11.28515625" style="24" customWidth="1"/>
    <col min="10676" max="10677" width="0" style="24" hidden="1" customWidth="1"/>
    <col min="10678" max="10678" width="8.85546875" style="24" bestFit="1" customWidth="1"/>
    <col min="10679" max="10916" width="11.42578125" style="24"/>
    <col min="10917" max="10917" width="5.28515625" style="24" customWidth="1"/>
    <col min="10918" max="10918" width="25.42578125" style="24" customWidth="1"/>
    <col min="10919" max="10919" width="14" style="24" customWidth="1"/>
    <col min="10920" max="10920" width="9.28515625" style="24" customWidth="1"/>
    <col min="10921" max="10921" width="13.5703125" style="24" customWidth="1"/>
    <col min="10922" max="10922" width="12.140625" style="24" customWidth="1"/>
    <col min="10923" max="10923" width="10.7109375" style="24" customWidth="1"/>
    <col min="10924" max="10924" width="10.42578125" style="24" customWidth="1"/>
    <col min="10925" max="10925" width="10.5703125" style="24" customWidth="1"/>
    <col min="10926" max="10926" width="12.5703125" style="24" customWidth="1"/>
    <col min="10927" max="10927" width="12" style="24" customWidth="1"/>
    <col min="10928" max="10928" width="12.28515625" style="24" customWidth="1"/>
    <col min="10929" max="10929" width="0" style="24" hidden="1" customWidth="1"/>
    <col min="10930" max="10930" width="12.42578125" style="24" customWidth="1"/>
    <col min="10931" max="10931" width="11.28515625" style="24" customWidth="1"/>
    <col min="10932" max="10933" width="0" style="24" hidden="1" customWidth="1"/>
    <col min="10934" max="10934" width="8.85546875" style="24" bestFit="1" customWidth="1"/>
    <col min="10935" max="11172" width="11.42578125" style="24"/>
    <col min="11173" max="11173" width="5.28515625" style="24" customWidth="1"/>
    <col min="11174" max="11174" width="25.42578125" style="24" customWidth="1"/>
    <col min="11175" max="11175" width="14" style="24" customWidth="1"/>
    <col min="11176" max="11176" width="9.28515625" style="24" customWidth="1"/>
    <col min="11177" max="11177" width="13.5703125" style="24" customWidth="1"/>
    <col min="11178" max="11178" width="12.140625" style="24" customWidth="1"/>
    <col min="11179" max="11179" width="10.7109375" style="24" customWidth="1"/>
    <col min="11180" max="11180" width="10.42578125" style="24" customWidth="1"/>
    <col min="11181" max="11181" width="10.5703125" style="24" customWidth="1"/>
    <col min="11182" max="11182" width="12.5703125" style="24" customWidth="1"/>
    <col min="11183" max="11183" width="12" style="24" customWidth="1"/>
    <col min="11184" max="11184" width="12.28515625" style="24" customWidth="1"/>
    <col min="11185" max="11185" width="0" style="24" hidden="1" customWidth="1"/>
    <col min="11186" max="11186" width="12.42578125" style="24" customWidth="1"/>
    <col min="11187" max="11187" width="11.28515625" style="24" customWidth="1"/>
    <col min="11188" max="11189" width="0" style="24" hidden="1" customWidth="1"/>
    <col min="11190" max="11190" width="8.85546875" style="24" bestFit="1" customWidth="1"/>
    <col min="11191" max="11428" width="11.42578125" style="24"/>
    <col min="11429" max="11429" width="5.28515625" style="24" customWidth="1"/>
    <col min="11430" max="11430" width="25.42578125" style="24" customWidth="1"/>
    <col min="11431" max="11431" width="14" style="24" customWidth="1"/>
    <col min="11432" max="11432" width="9.28515625" style="24" customWidth="1"/>
    <col min="11433" max="11433" width="13.5703125" style="24" customWidth="1"/>
    <col min="11434" max="11434" width="12.140625" style="24" customWidth="1"/>
    <col min="11435" max="11435" width="10.7109375" style="24" customWidth="1"/>
    <col min="11436" max="11436" width="10.42578125" style="24" customWidth="1"/>
    <col min="11437" max="11437" width="10.5703125" style="24" customWidth="1"/>
    <col min="11438" max="11438" width="12.5703125" style="24" customWidth="1"/>
    <col min="11439" max="11439" width="12" style="24" customWidth="1"/>
    <col min="11440" max="11440" width="12.28515625" style="24" customWidth="1"/>
    <col min="11441" max="11441" width="0" style="24" hidden="1" customWidth="1"/>
    <col min="11442" max="11442" width="12.42578125" style="24" customWidth="1"/>
    <col min="11443" max="11443" width="11.28515625" style="24" customWidth="1"/>
    <col min="11444" max="11445" width="0" style="24" hidden="1" customWidth="1"/>
    <col min="11446" max="11446" width="8.85546875" style="24" bestFit="1" customWidth="1"/>
    <col min="11447" max="11684" width="11.42578125" style="24"/>
    <col min="11685" max="11685" width="5.28515625" style="24" customWidth="1"/>
    <col min="11686" max="11686" width="25.42578125" style="24" customWidth="1"/>
    <col min="11687" max="11687" width="14" style="24" customWidth="1"/>
    <col min="11688" max="11688" width="9.28515625" style="24" customWidth="1"/>
    <col min="11689" max="11689" width="13.5703125" style="24" customWidth="1"/>
    <col min="11690" max="11690" width="12.140625" style="24" customWidth="1"/>
    <col min="11691" max="11691" width="10.7109375" style="24" customWidth="1"/>
    <col min="11692" max="11692" width="10.42578125" style="24" customWidth="1"/>
    <col min="11693" max="11693" width="10.5703125" style="24" customWidth="1"/>
    <col min="11694" max="11694" width="12.5703125" style="24" customWidth="1"/>
    <col min="11695" max="11695" width="12" style="24" customWidth="1"/>
    <col min="11696" max="11696" width="12.28515625" style="24" customWidth="1"/>
    <col min="11697" max="11697" width="0" style="24" hidden="1" customWidth="1"/>
    <col min="11698" max="11698" width="12.42578125" style="24" customWidth="1"/>
    <col min="11699" max="11699" width="11.28515625" style="24" customWidth="1"/>
    <col min="11700" max="11701" width="0" style="24" hidden="1" customWidth="1"/>
    <col min="11702" max="11702" width="8.85546875" style="24" bestFit="1" customWidth="1"/>
    <col min="11703" max="11940" width="11.42578125" style="24"/>
    <col min="11941" max="11941" width="5.28515625" style="24" customWidth="1"/>
    <col min="11942" max="11942" width="25.42578125" style="24" customWidth="1"/>
    <col min="11943" max="11943" width="14" style="24" customWidth="1"/>
    <col min="11944" max="11944" width="9.28515625" style="24" customWidth="1"/>
    <col min="11945" max="11945" width="13.5703125" style="24" customWidth="1"/>
    <col min="11946" max="11946" width="12.140625" style="24" customWidth="1"/>
    <col min="11947" max="11947" width="10.7109375" style="24" customWidth="1"/>
    <col min="11948" max="11948" width="10.42578125" style="24" customWidth="1"/>
    <col min="11949" max="11949" width="10.5703125" style="24" customWidth="1"/>
    <col min="11950" max="11950" width="12.5703125" style="24" customWidth="1"/>
    <col min="11951" max="11951" width="12" style="24" customWidth="1"/>
    <col min="11952" max="11952" width="12.28515625" style="24" customWidth="1"/>
    <col min="11953" max="11953" width="0" style="24" hidden="1" customWidth="1"/>
    <col min="11954" max="11954" width="12.42578125" style="24" customWidth="1"/>
    <col min="11955" max="11955" width="11.28515625" style="24" customWidth="1"/>
    <col min="11956" max="11957" width="0" style="24" hidden="1" customWidth="1"/>
    <col min="11958" max="11958" width="8.85546875" style="24" bestFit="1" customWidth="1"/>
    <col min="11959" max="12196" width="11.42578125" style="24"/>
    <col min="12197" max="12197" width="5.28515625" style="24" customWidth="1"/>
    <col min="12198" max="12198" width="25.42578125" style="24" customWidth="1"/>
    <col min="12199" max="12199" width="14" style="24" customWidth="1"/>
    <col min="12200" max="12200" width="9.28515625" style="24" customWidth="1"/>
    <col min="12201" max="12201" width="13.5703125" style="24" customWidth="1"/>
    <col min="12202" max="12202" width="12.140625" style="24" customWidth="1"/>
    <col min="12203" max="12203" width="10.7109375" style="24" customWidth="1"/>
    <col min="12204" max="12204" width="10.42578125" style="24" customWidth="1"/>
    <col min="12205" max="12205" width="10.5703125" style="24" customWidth="1"/>
    <col min="12206" max="12206" width="12.5703125" style="24" customWidth="1"/>
    <col min="12207" max="12207" width="12" style="24" customWidth="1"/>
    <col min="12208" max="12208" width="12.28515625" style="24" customWidth="1"/>
    <col min="12209" max="12209" width="0" style="24" hidden="1" customWidth="1"/>
    <col min="12210" max="12210" width="12.42578125" style="24" customWidth="1"/>
    <col min="12211" max="12211" width="11.28515625" style="24" customWidth="1"/>
    <col min="12212" max="12213" width="0" style="24" hidden="1" customWidth="1"/>
    <col min="12214" max="12214" width="8.85546875" style="24" bestFit="1" customWidth="1"/>
    <col min="12215" max="12452" width="11.42578125" style="24"/>
    <col min="12453" max="12453" width="5.28515625" style="24" customWidth="1"/>
    <col min="12454" max="12454" width="25.42578125" style="24" customWidth="1"/>
    <col min="12455" max="12455" width="14" style="24" customWidth="1"/>
    <col min="12456" max="12456" width="9.28515625" style="24" customWidth="1"/>
    <col min="12457" max="12457" width="13.5703125" style="24" customWidth="1"/>
    <col min="12458" max="12458" width="12.140625" style="24" customWidth="1"/>
    <col min="12459" max="12459" width="10.7109375" style="24" customWidth="1"/>
    <col min="12460" max="12460" width="10.42578125" style="24" customWidth="1"/>
    <col min="12461" max="12461" width="10.5703125" style="24" customWidth="1"/>
    <col min="12462" max="12462" width="12.5703125" style="24" customWidth="1"/>
    <col min="12463" max="12463" width="12" style="24" customWidth="1"/>
    <col min="12464" max="12464" width="12.28515625" style="24" customWidth="1"/>
    <col min="12465" max="12465" width="0" style="24" hidden="1" customWidth="1"/>
    <col min="12466" max="12466" width="12.42578125" style="24" customWidth="1"/>
    <col min="12467" max="12467" width="11.28515625" style="24" customWidth="1"/>
    <col min="12468" max="12469" width="0" style="24" hidden="1" customWidth="1"/>
    <col min="12470" max="12470" width="8.85546875" style="24" bestFit="1" customWidth="1"/>
    <col min="12471" max="12708" width="11.42578125" style="24"/>
    <col min="12709" max="12709" width="5.28515625" style="24" customWidth="1"/>
    <col min="12710" max="12710" width="25.42578125" style="24" customWidth="1"/>
    <col min="12711" max="12711" width="14" style="24" customWidth="1"/>
    <col min="12712" max="12712" width="9.28515625" style="24" customWidth="1"/>
    <col min="12713" max="12713" width="13.5703125" style="24" customWidth="1"/>
    <col min="12714" max="12714" width="12.140625" style="24" customWidth="1"/>
    <col min="12715" max="12715" width="10.7109375" style="24" customWidth="1"/>
    <col min="12716" max="12716" width="10.42578125" style="24" customWidth="1"/>
    <col min="12717" max="12717" width="10.5703125" style="24" customWidth="1"/>
    <col min="12718" max="12718" width="12.5703125" style="24" customWidth="1"/>
    <col min="12719" max="12719" width="12" style="24" customWidth="1"/>
    <col min="12720" max="12720" width="12.28515625" style="24" customWidth="1"/>
    <col min="12721" max="12721" width="0" style="24" hidden="1" customWidth="1"/>
    <col min="12722" max="12722" width="12.42578125" style="24" customWidth="1"/>
    <col min="12723" max="12723" width="11.28515625" style="24" customWidth="1"/>
    <col min="12724" max="12725" width="0" style="24" hidden="1" customWidth="1"/>
    <col min="12726" max="12726" width="8.85546875" style="24" bestFit="1" customWidth="1"/>
    <col min="12727" max="12964" width="11.42578125" style="24"/>
    <col min="12965" max="12965" width="5.28515625" style="24" customWidth="1"/>
    <col min="12966" max="12966" width="25.42578125" style="24" customWidth="1"/>
    <col min="12967" max="12967" width="14" style="24" customWidth="1"/>
    <col min="12968" max="12968" width="9.28515625" style="24" customWidth="1"/>
    <col min="12969" max="12969" width="13.5703125" style="24" customWidth="1"/>
    <col min="12970" max="12970" width="12.140625" style="24" customWidth="1"/>
    <col min="12971" max="12971" width="10.7109375" style="24" customWidth="1"/>
    <col min="12972" max="12972" width="10.42578125" style="24" customWidth="1"/>
    <col min="12973" max="12973" width="10.5703125" style="24" customWidth="1"/>
    <col min="12974" max="12974" width="12.5703125" style="24" customWidth="1"/>
    <col min="12975" max="12975" width="12" style="24" customWidth="1"/>
    <col min="12976" max="12976" width="12.28515625" style="24" customWidth="1"/>
    <col min="12977" max="12977" width="0" style="24" hidden="1" customWidth="1"/>
    <col min="12978" max="12978" width="12.42578125" style="24" customWidth="1"/>
    <col min="12979" max="12979" width="11.28515625" style="24" customWidth="1"/>
    <col min="12980" max="12981" width="0" style="24" hidden="1" customWidth="1"/>
    <col min="12982" max="12982" width="8.85546875" style="24" bestFit="1" customWidth="1"/>
    <col min="12983" max="13220" width="11.42578125" style="24"/>
    <col min="13221" max="13221" width="5.28515625" style="24" customWidth="1"/>
    <col min="13222" max="13222" width="25.42578125" style="24" customWidth="1"/>
    <col min="13223" max="13223" width="14" style="24" customWidth="1"/>
    <col min="13224" max="13224" width="9.28515625" style="24" customWidth="1"/>
    <col min="13225" max="13225" width="13.5703125" style="24" customWidth="1"/>
    <col min="13226" max="13226" width="12.140625" style="24" customWidth="1"/>
    <col min="13227" max="13227" width="10.7109375" style="24" customWidth="1"/>
    <col min="13228" max="13228" width="10.42578125" style="24" customWidth="1"/>
    <col min="13229" max="13229" width="10.5703125" style="24" customWidth="1"/>
    <col min="13230" max="13230" width="12.5703125" style="24" customWidth="1"/>
    <col min="13231" max="13231" width="12" style="24" customWidth="1"/>
    <col min="13232" max="13232" width="12.28515625" style="24" customWidth="1"/>
    <col min="13233" max="13233" width="0" style="24" hidden="1" customWidth="1"/>
    <col min="13234" max="13234" width="12.42578125" style="24" customWidth="1"/>
    <col min="13235" max="13235" width="11.28515625" style="24" customWidth="1"/>
    <col min="13236" max="13237" width="0" style="24" hidden="1" customWidth="1"/>
    <col min="13238" max="13238" width="8.85546875" style="24" bestFit="1" customWidth="1"/>
    <col min="13239" max="13476" width="11.42578125" style="24"/>
    <col min="13477" max="13477" width="5.28515625" style="24" customWidth="1"/>
    <col min="13478" max="13478" width="25.42578125" style="24" customWidth="1"/>
    <col min="13479" max="13479" width="14" style="24" customWidth="1"/>
    <col min="13480" max="13480" width="9.28515625" style="24" customWidth="1"/>
    <col min="13481" max="13481" width="13.5703125" style="24" customWidth="1"/>
    <col min="13482" max="13482" width="12.140625" style="24" customWidth="1"/>
    <col min="13483" max="13483" width="10.7109375" style="24" customWidth="1"/>
    <col min="13484" max="13484" width="10.42578125" style="24" customWidth="1"/>
    <col min="13485" max="13485" width="10.5703125" style="24" customWidth="1"/>
    <col min="13486" max="13486" width="12.5703125" style="24" customWidth="1"/>
    <col min="13487" max="13487" width="12" style="24" customWidth="1"/>
    <col min="13488" max="13488" width="12.28515625" style="24" customWidth="1"/>
    <col min="13489" max="13489" width="0" style="24" hidden="1" customWidth="1"/>
    <col min="13490" max="13490" width="12.42578125" style="24" customWidth="1"/>
    <col min="13491" max="13491" width="11.28515625" style="24" customWidth="1"/>
    <col min="13492" max="13493" width="0" style="24" hidden="1" customWidth="1"/>
    <col min="13494" max="13494" width="8.85546875" style="24" bestFit="1" customWidth="1"/>
    <col min="13495" max="13732" width="11.42578125" style="24"/>
    <col min="13733" max="13733" width="5.28515625" style="24" customWidth="1"/>
    <col min="13734" max="13734" width="25.42578125" style="24" customWidth="1"/>
    <col min="13735" max="13735" width="14" style="24" customWidth="1"/>
    <col min="13736" max="13736" width="9.28515625" style="24" customWidth="1"/>
    <col min="13737" max="13737" width="13.5703125" style="24" customWidth="1"/>
    <col min="13738" max="13738" width="12.140625" style="24" customWidth="1"/>
    <col min="13739" max="13739" width="10.7109375" style="24" customWidth="1"/>
    <col min="13740" max="13740" width="10.42578125" style="24" customWidth="1"/>
    <col min="13741" max="13741" width="10.5703125" style="24" customWidth="1"/>
    <col min="13742" max="13742" width="12.5703125" style="24" customWidth="1"/>
    <col min="13743" max="13743" width="12" style="24" customWidth="1"/>
    <col min="13744" max="13744" width="12.28515625" style="24" customWidth="1"/>
    <col min="13745" max="13745" width="0" style="24" hidden="1" customWidth="1"/>
    <col min="13746" max="13746" width="12.42578125" style="24" customWidth="1"/>
    <col min="13747" max="13747" width="11.28515625" style="24" customWidth="1"/>
    <col min="13748" max="13749" width="0" style="24" hidden="1" customWidth="1"/>
    <col min="13750" max="13750" width="8.85546875" style="24" bestFit="1" customWidth="1"/>
    <col min="13751" max="13988" width="11.42578125" style="24"/>
    <col min="13989" max="13989" width="5.28515625" style="24" customWidth="1"/>
    <col min="13990" max="13990" width="25.42578125" style="24" customWidth="1"/>
    <col min="13991" max="13991" width="14" style="24" customWidth="1"/>
    <col min="13992" max="13992" width="9.28515625" style="24" customWidth="1"/>
    <col min="13993" max="13993" width="13.5703125" style="24" customWidth="1"/>
    <col min="13994" max="13994" width="12.140625" style="24" customWidth="1"/>
    <col min="13995" max="13995" width="10.7109375" style="24" customWidth="1"/>
    <col min="13996" max="13996" width="10.42578125" style="24" customWidth="1"/>
    <col min="13997" max="13997" width="10.5703125" style="24" customWidth="1"/>
    <col min="13998" max="13998" width="12.5703125" style="24" customWidth="1"/>
    <col min="13999" max="13999" width="12" style="24" customWidth="1"/>
    <col min="14000" max="14000" width="12.28515625" style="24" customWidth="1"/>
    <col min="14001" max="14001" width="0" style="24" hidden="1" customWidth="1"/>
    <col min="14002" max="14002" width="12.42578125" style="24" customWidth="1"/>
    <col min="14003" max="14003" width="11.28515625" style="24" customWidth="1"/>
    <col min="14004" max="14005" width="0" style="24" hidden="1" customWidth="1"/>
    <col min="14006" max="14006" width="8.85546875" style="24" bestFit="1" customWidth="1"/>
    <col min="14007" max="14244" width="11.42578125" style="24"/>
    <col min="14245" max="14245" width="5.28515625" style="24" customWidth="1"/>
    <col min="14246" max="14246" width="25.42578125" style="24" customWidth="1"/>
    <col min="14247" max="14247" width="14" style="24" customWidth="1"/>
    <col min="14248" max="14248" width="9.28515625" style="24" customWidth="1"/>
    <col min="14249" max="14249" width="13.5703125" style="24" customWidth="1"/>
    <col min="14250" max="14250" width="12.140625" style="24" customWidth="1"/>
    <col min="14251" max="14251" width="10.7109375" style="24" customWidth="1"/>
    <col min="14252" max="14252" width="10.42578125" style="24" customWidth="1"/>
    <col min="14253" max="14253" width="10.5703125" style="24" customWidth="1"/>
    <col min="14254" max="14254" width="12.5703125" style="24" customWidth="1"/>
    <col min="14255" max="14255" width="12" style="24" customWidth="1"/>
    <col min="14256" max="14256" width="12.28515625" style="24" customWidth="1"/>
    <col min="14257" max="14257" width="0" style="24" hidden="1" customWidth="1"/>
    <col min="14258" max="14258" width="12.42578125" style="24" customWidth="1"/>
    <col min="14259" max="14259" width="11.28515625" style="24" customWidth="1"/>
    <col min="14260" max="14261" width="0" style="24" hidden="1" customWidth="1"/>
    <col min="14262" max="14262" width="8.85546875" style="24" bestFit="1" customWidth="1"/>
    <col min="14263" max="14500" width="11.42578125" style="24"/>
    <col min="14501" max="14501" width="5.28515625" style="24" customWidth="1"/>
    <col min="14502" max="14502" width="25.42578125" style="24" customWidth="1"/>
    <col min="14503" max="14503" width="14" style="24" customWidth="1"/>
    <col min="14504" max="14504" width="9.28515625" style="24" customWidth="1"/>
    <col min="14505" max="14505" width="13.5703125" style="24" customWidth="1"/>
    <col min="14506" max="14506" width="12.140625" style="24" customWidth="1"/>
    <col min="14507" max="14507" width="10.7109375" style="24" customWidth="1"/>
    <col min="14508" max="14508" width="10.42578125" style="24" customWidth="1"/>
    <col min="14509" max="14509" width="10.5703125" style="24" customWidth="1"/>
    <col min="14510" max="14510" width="12.5703125" style="24" customWidth="1"/>
    <col min="14511" max="14511" width="12" style="24" customWidth="1"/>
    <col min="14512" max="14512" width="12.28515625" style="24" customWidth="1"/>
    <col min="14513" max="14513" width="0" style="24" hidden="1" customWidth="1"/>
    <col min="14514" max="14514" width="12.42578125" style="24" customWidth="1"/>
    <col min="14515" max="14515" width="11.28515625" style="24" customWidth="1"/>
    <col min="14516" max="14517" width="0" style="24" hidden="1" customWidth="1"/>
    <col min="14518" max="14518" width="8.85546875" style="24" bestFit="1" customWidth="1"/>
    <col min="14519" max="14756" width="11.42578125" style="24"/>
    <col min="14757" max="14757" width="5.28515625" style="24" customWidth="1"/>
    <col min="14758" max="14758" width="25.42578125" style="24" customWidth="1"/>
    <col min="14759" max="14759" width="14" style="24" customWidth="1"/>
    <col min="14760" max="14760" width="9.28515625" style="24" customWidth="1"/>
    <col min="14761" max="14761" width="13.5703125" style="24" customWidth="1"/>
    <col min="14762" max="14762" width="12.140625" style="24" customWidth="1"/>
    <col min="14763" max="14763" width="10.7109375" style="24" customWidth="1"/>
    <col min="14764" max="14764" width="10.42578125" style="24" customWidth="1"/>
    <col min="14765" max="14765" width="10.5703125" style="24" customWidth="1"/>
    <col min="14766" max="14766" width="12.5703125" style="24" customWidth="1"/>
    <col min="14767" max="14767" width="12" style="24" customWidth="1"/>
    <col min="14768" max="14768" width="12.28515625" style="24" customWidth="1"/>
    <col min="14769" max="14769" width="0" style="24" hidden="1" customWidth="1"/>
    <col min="14770" max="14770" width="12.42578125" style="24" customWidth="1"/>
    <col min="14771" max="14771" width="11.28515625" style="24" customWidth="1"/>
    <col min="14772" max="14773" width="0" style="24" hidden="1" customWidth="1"/>
    <col min="14774" max="14774" width="8.85546875" style="24" bestFit="1" customWidth="1"/>
    <col min="14775" max="15012" width="11.42578125" style="24"/>
    <col min="15013" max="15013" width="5.28515625" style="24" customWidth="1"/>
    <col min="15014" max="15014" width="25.42578125" style="24" customWidth="1"/>
    <col min="15015" max="15015" width="14" style="24" customWidth="1"/>
    <col min="15016" max="15016" width="9.28515625" style="24" customWidth="1"/>
    <col min="15017" max="15017" width="13.5703125" style="24" customWidth="1"/>
    <col min="15018" max="15018" width="12.140625" style="24" customWidth="1"/>
    <col min="15019" max="15019" width="10.7109375" style="24" customWidth="1"/>
    <col min="15020" max="15020" width="10.42578125" style="24" customWidth="1"/>
    <col min="15021" max="15021" width="10.5703125" style="24" customWidth="1"/>
    <col min="15022" max="15022" width="12.5703125" style="24" customWidth="1"/>
    <col min="15023" max="15023" width="12" style="24" customWidth="1"/>
    <col min="15024" max="15024" width="12.28515625" style="24" customWidth="1"/>
    <col min="15025" max="15025" width="0" style="24" hidden="1" customWidth="1"/>
    <col min="15026" max="15026" width="12.42578125" style="24" customWidth="1"/>
    <col min="15027" max="15027" width="11.28515625" style="24" customWidth="1"/>
    <col min="15028" max="15029" width="0" style="24" hidden="1" customWidth="1"/>
    <col min="15030" max="15030" width="8.85546875" style="24" bestFit="1" customWidth="1"/>
    <col min="15031" max="15268" width="11.42578125" style="24"/>
    <col min="15269" max="15269" width="5.28515625" style="24" customWidth="1"/>
    <col min="15270" max="15270" width="25.42578125" style="24" customWidth="1"/>
    <col min="15271" max="15271" width="14" style="24" customWidth="1"/>
    <col min="15272" max="15272" width="9.28515625" style="24" customWidth="1"/>
    <col min="15273" max="15273" width="13.5703125" style="24" customWidth="1"/>
    <col min="15274" max="15274" width="12.140625" style="24" customWidth="1"/>
    <col min="15275" max="15275" width="10.7109375" style="24" customWidth="1"/>
    <col min="15276" max="15276" width="10.42578125" style="24" customWidth="1"/>
    <col min="15277" max="15277" width="10.5703125" style="24" customWidth="1"/>
    <col min="15278" max="15278" width="12.5703125" style="24" customWidth="1"/>
    <col min="15279" max="15279" width="12" style="24" customWidth="1"/>
    <col min="15280" max="15280" width="12.28515625" style="24" customWidth="1"/>
    <col min="15281" max="15281" width="0" style="24" hidden="1" customWidth="1"/>
    <col min="15282" max="15282" width="12.42578125" style="24" customWidth="1"/>
    <col min="15283" max="15283" width="11.28515625" style="24" customWidth="1"/>
    <col min="15284" max="15285" width="0" style="24" hidden="1" customWidth="1"/>
    <col min="15286" max="15286" width="8.85546875" style="24" bestFit="1" customWidth="1"/>
    <col min="15287" max="15524" width="11.42578125" style="24"/>
    <col min="15525" max="15525" width="5.28515625" style="24" customWidth="1"/>
    <col min="15526" max="15526" width="25.42578125" style="24" customWidth="1"/>
    <col min="15527" max="15527" width="14" style="24" customWidth="1"/>
    <col min="15528" max="15528" width="9.28515625" style="24" customWidth="1"/>
    <col min="15529" max="15529" width="13.5703125" style="24" customWidth="1"/>
    <col min="15530" max="15530" width="12.140625" style="24" customWidth="1"/>
    <col min="15531" max="15531" width="10.7109375" style="24" customWidth="1"/>
    <col min="15532" max="15532" width="10.42578125" style="24" customWidth="1"/>
    <col min="15533" max="15533" width="10.5703125" style="24" customWidth="1"/>
    <col min="15534" max="15534" width="12.5703125" style="24" customWidth="1"/>
    <col min="15535" max="15535" width="12" style="24" customWidth="1"/>
    <col min="15536" max="15536" width="12.28515625" style="24" customWidth="1"/>
    <col min="15537" max="15537" width="0" style="24" hidden="1" customWidth="1"/>
    <col min="15538" max="15538" width="12.42578125" style="24" customWidth="1"/>
    <col min="15539" max="15539" width="11.28515625" style="24" customWidth="1"/>
    <col min="15540" max="15541" width="0" style="24" hidden="1" customWidth="1"/>
    <col min="15542" max="15542" width="8.85546875" style="24" bestFit="1" customWidth="1"/>
    <col min="15543" max="15780" width="11.42578125" style="24"/>
    <col min="15781" max="15781" width="5.28515625" style="24" customWidth="1"/>
    <col min="15782" max="15782" width="25.42578125" style="24" customWidth="1"/>
    <col min="15783" max="15783" width="14" style="24" customWidth="1"/>
    <col min="15784" max="15784" width="9.28515625" style="24" customWidth="1"/>
    <col min="15785" max="15785" width="13.5703125" style="24" customWidth="1"/>
    <col min="15786" max="15786" width="12.140625" style="24" customWidth="1"/>
    <col min="15787" max="15787" width="10.7109375" style="24" customWidth="1"/>
    <col min="15788" max="15788" width="10.42578125" style="24" customWidth="1"/>
    <col min="15789" max="15789" width="10.5703125" style="24" customWidth="1"/>
    <col min="15790" max="15790" width="12.5703125" style="24" customWidth="1"/>
    <col min="15791" max="15791" width="12" style="24" customWidth="1"/>
    <col min="15792" max="15792" width="12.28515625" style="24" customWidth="1"/>
    <col min="15793" max="15793" width="0" style="24" hidden="1" customWidth="1"/>
    <col min="15794" max="15794" width="12.42578125" style="24" customWidth="1"/>
    <col min="15795" max="15795" width="11.28515625" style="24" customWidth="1"/>
    <col min="15796" max="15797" width="0" style="24" hidden="1" customWidth="1"/>
    <col min="15798" max="15798" width="8.85546875" style="24" bestFit="1" customWidth="1"/>
    <col min="15799" max="16036" width="11.42578125" style="24"/>
    <col min="16037" max="16037" width="5.28515625" style="24" customWidth="1"/>
    <col min="16038" max="16038" width="25.42578125" style="24" customWidth="1"/>
    <col min="16039" max="16039" width="14" style="24" customWidth="1"/>
    <col min="16040" max="16040" width="9.28515625" style="24" customWidth="1"/>
    <col min="16041" max="16041" width="13.5703125" style="24" customWidth="1"/>
    <col min="16042" max="16042" width="12.140625" style="24" customWidth="1"/>
    <col min="16043" max="16043" width="10.7109375" style="24" customWidth="1"/>
    <col min="16044" max="16044" width="10.42578125" style="24" customWidth="1"/>
    <col min="16045" max="16045" width="10.5703125" style="24" customWidth="1"/>
    <col min="16046" max="16046" width="12.5703125" style="24" customWidth="1"/>
    <col min="16047" max="16047" width="12" style="24" customWidth="1"/>
    <col min="16048" max="16048" width="12.28515625" style="24" customWidth="1"/>
    <col min="16049" max="16049" width="0" style="24" hidden="1" customWidth="1"/>
    <col min="16050" max="16050" width="12.42578125" style="24" customWidth="1"/>
    <col min="16051" max="16051" width="11.28515625" style="24" customWidth="1"/>
    <col min="16052" max="16053" width="0" style="24" hidden="1" customWidth="1"/>
    <col min="16054" max="16054" width="8.85546875" style="24" bestFit="1" customWidth="1"/>
    <col min="16055" max="16384" width="11.42578125" style="24"/>
  </cols>
  <sheetData>
    <row r="1" spans="1:18" s="22" customFormat="1" ht="29.45" customHeight="1" x14ac:dyDescent="0.2">
      <c r="A1" s="223" t="s">
        <v>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8" s="22" customFormat="1" ht="21" customHeight="1" x14ac:dyDescent="0.2">
      <c r="A2" s="224" t="s">
        <v>115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8" s="22" customFormat="1" ht="21" customHeight="1" x14ac:dyDescent="0.2">
      <c r="A3" s="224" t="s">
        <v>129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18" s="2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89"/>
      <c r="O4" s="23"/>
      <c r="P4" s="23"/>
      <c r="Q4" s="23"/>
    </row>
    <row r="5" spans="1:18" ht="25.5" customHeight="1" x14ac:dyDescent="0.2">
      <c r="A5" s="225" t="s">
        <v>23</v>
      </c>
      <c r="B5" s="228" t="s">
        <v>24</v>
      </c>
      <c r="C5" s="228" t="s">
        <v>25</v>
      </c>
      <c r="D5" s="231" t="s">
        <v>26</v>
      </c>
      <c r="E5" s="232"/>
      <c r="F5" s="232"/>
      <c r="G5" s="232"/>
      <c r="H5" s="232"/>
      <c r="I5" s="233"/>
      <c r="J5" s="231" t="s">
        <v>27</v>
      </c>
      <c r="K5" s="232"/>
      <c r="L5" s="232"/>
      <c r="M5" s="232"/>
      <c r="N5" s="232"/>
      <c r="O5" s="232"/>
      <c r="P5" s="232"/>
      <c r="Q5" s="232"/>
      <c r="R5" s="233"/>
    </row>
    <row r="6" spans="1:18" ht="24.75" customHeight="1" x14ac:dyDescent="0.2">
      <c r="A6" s="226"/>
      <c r="B6" s="229"/>
      <c r="C6" s="229"/>
      <c r="D6" s="231" t="s">
        <v>71</v>
      </c>
      <c r="E6" s="233"/>
      <c r="F6" s="228" t="s">
        <v>28</v>
      </c>
      <c r="G6" s="228" t="s">
        <v>29</v>
      </c>
      <c r="H6" s="216" t="s">
        <v>30</v>
      </c>
      <c r="I6" s="216"/>
      <c r="J6" s="216" t="s">
        <v>31</v>
      </c>
      <c r="K6" s="216" t="s">
        <v>131</v>
      </c>
      <c r="L6" s="216"/>
      <c r="M6" s="216" t="s">
        <v>34</v>
      </c>
      <c r="N6" s="214" t="s">
        <v>110</v>
      </c>
      <c r="O6" s="216" t="s">
        <v>111</v>
      </c>
      <c r="P6" s="216" t="s">
        <v>112</v>
      </c>
      <c r="Q6" s="216"/>
      <c r="R6" s="228" t="s">
        <v>39</v>
      </c>
    </row>
    <row r="7" spans="1:18" ht="17.25" customHeight="1" x14ac:dyDescent="0.2">
      <c r="A7" s="227"/>
      <c r="B7" s="230"/>
      <c r="C7" s="230"/>
      <c r="D7" s="133" t="s">
        <v>31</v>
      </c>
      <c r="E7" s="133" t="s">
        <v>134</v>
      </c>
      <c r="F7" s="230"/>
      <c r="G7" s="230"/>
      <c r="H7" s="115" t="s">
        <v>40</v>
      </c>
      <c r="I7" s="115" t="s">
        <v>0</v>
      </c>
      <c r="J7" s="216"/>
      <c r="K7" s="125" t="s">
        <v>132</v>
      </c>
      <c r="L7" s="125" t="s">
        <v>133</v>
      </c>
      <c r="M7" s="216"/>
      <c r="N7" s="215"/>
      <c r="O7" s="216"/>
      <c r="P7" s="115" t="s">
        <v>41</v>
      </c>
      <c r="Q7" s="115" t="s">
        <v>0</v>
      </c>
      <c r="R7" s="230"/>
    </row>
    <row r="8" spans="1:18" ht="28.5" customHeight="1" x14ac:dyDescent="0.2">
      <c r="A8" s="26">
        <v>1</v>
      </c>
      <c r="B8" s="36" t="s">
        <v>44</v>
      </c>
      <c r="C8" s="28" t="s">
        <v>86</v>
      </c>
      <c r="D8" s="29">
        <v>1031</v>
      </c>
      <c r="E8" s="29">
        <v>1031</v>
      </c>
      <c r="F8" s="29">
        <v>638</v>
      </c>
      <c r="G8" s="29">
        <v>642</v>
      </c>
      <c r="H8" s="29">
        <f>G8-F8</f>
        <v>4</v>
      </c>
      <c r="I8" s="151">
        <f>(G8/F8)-1</f>
        <v>6.2695924764890609E-3</v>
      </c>
      <c r="J8" s="84">
        <f>31532*2</f>
        <v>63064</v>
      </c>
      <c r="K8" s="84"/>
      <c r="L8" s="84"/>
      <c r="M8" s="84">
        <f>J8+K8-L8</f>
        <v>63064</v>
      </c>
      <c r="N8" s="131">
        <v>21427.62</v>
      </c>
      <c r="O8" s="84">
        <f>'Subsidio Ene-Mar'!R9-'1 Subsidio Ene-Mar'!N8</f>
        <v>5605</v>
      </c>
      <c r="P8" s="56">
        <f>N8-O8</f>
        <v>15822.619999999999</v>
      </c>
      <c r="Q8" s="152">
        <f>+P8/N8</f>
        <v>0.73842171925766831</v>
      </c>
      <c r="R8" s="30" t="s">
        <v>3</v>
      </c>
    </row>
    <row r="9" spans="1:18" ht="28.5" customHeight="1" x14ac:dyDescent="0.2">
      <c r="A9" s="26">
        <f>+A8+1</f>
        <v>2</v>
      </c>
      <c r="B9" s="36" t="s">
        <v>45</v>
      </c>
      <c r="C9" s="28" t="s">
        <v>87</v>
      </c>
      <c r="D9" s="29">
        <v>8</v>
      </c>
      <c r="E9" s="29">
        <v>12</v>
      </c>
      <c r="F9" s="29">
        <f>+'Tula Subsidio'!E9</f>
        <v>0</v>
      </c>
      <c r="G9" s="29">
        <v>0</v>
      </c>
      <c r="H9" s="29">
        <f t="shared" ref="H9:H11" si="0">G9-F9</f>
        <v>0</v>
      </c>
      <c r="I9" s="151">
        <v>0</v>
      </c>
      <c r="J9" s="84">
        <f>69196.5*2</f>
        <v>138393</v>
      </c>
      <c r="K9" s="84">
        <v>80800</v>
      </c>
      <c r="L9" s="84"/>
      <c r="M9" s="84">
        <f t="shared" ref="M9:M24" si="1">J9+K9-L9</f>
        <v>219193</v>
      </c>
      <c r="N9" s="131">
        <v>111698.92</v>
      </c>
      <c r="O9" s="84">
        <f>'Subsidio Ene-Mar'!R11-'1 Subsidio Ene-Mar'!N9</f>
        <v>56990</v>
      </c>
      <c r="P9" s="56">
        <f>N9-O9</f>
        <v>54708.92</v>
      </c>
      <c r="Q9" s="152">
        <f>+P9/N9</f>
        <v>0.48978915821209373</v>
      </c>
      <c r="R9" s="30" t="s">
        <v>4</v>
      </c>
    </row>
    <row r="10" spans="1:18" s="34" customFormat="1" ht="28.5" customHeight="1" x14ac:dyDescent="0.2">
      <c r="A10" s="26">
        <f t="shared" ref="A10:A24" si="2">+A9+1</f>
        <v>3</v>
      </c>
      <c r="B10" s="36" t="s">
        <v>46</v>
      </c>
      <c r="C10" s="33" t="s">
        <v>125</v>
      </c>
      <c r="D10" s="29">
        <v>1</v>
      </c>
      <c r="E10" s="29">
        <v>1</v>
      </c>
      <c r="F10" s="29">
        <v>0</v>
      </c>
      <c r="G10" s="29">
        <v>0</v>
      </c>
      <c r="H10" s="29">
        <f t="shared" si="0"/>
        <v>0</v>
      </c>
      <c r="I10" s="151">
        <v>0</v>
      </c>
      <c r="J10" s="84">
        <f>6022*2</f>
        <v>12044</v>
      </c>
      <c r="K10" s="84"/>
      <c r="L10" s="84"/>
      <c r="M10" s="84">
        <f t="shared" si="1"/>
        <v>12044</v>
      </c>
      <c r="N10" s="131">
        <v>5057.67</v>
      </c>
      <c r="O10" s="84">
        <f>'Subsidio Ene-Mar'!R12-'1 Subsidio Ene-Mar'!N10</f>
        <v>4346</v>
      </c>
      <c r="P10" s="56">
        <f t="shared" ref="P10:P25" si="3">N10-O10</f>
        <v>711.67000000000007</v>
      </c>
      <c r="Q10" s="152">
        <f t="shared" ref="Q10:Q25" si="4">+P10/N10</f>
        <v>0.14071103887758593</v>
      </c>
      <c r="R10" s="30" t="s">
        <v>5</v>
      </c>
    </row>
    <row r="11" spans="1:18" ht="28.5" customHeight="1" x14ac:dyDescent="0.2">
      <c r="A11" s="26">
        <f t="shared" si="2"/>
        <v>4</v>
      </c>
      <c r="B11" s="36" t="s">
        <v>47</v>
      </c>
      <c r="C11" s="28" t="s">
        <v>43</v>
      </c>
      <c r="D11" s="29">
        <v>4</v>
      </c>
      <c r="E11" s="29">
        <v>4</v>
      </c>
      <c r="F11" s="29">
        <v>2</v>
      </c>
      <c r="G11" s="29">
        <v>0</v>
      </c>
      <c r="H11" s="29">
        <f t="shared" si="0"/>
        <v>-2</v>
      </c>
      <c r="I11" s="151">
        <f t="shared" ref="I11" si="5">(G11/F11)-1</f>
        <v>-1</v>
      </c>
      <c r="J11" s="84">
        <f>8470*2</f>
        <v>16940</v>
      </c>
      <c r="K11" s="84"/>
      <c r="L11" s="84"/>
      <c r="M11" s="84">
        <f t="shared" si="1"/>
        <v>16940</v>
      </c>
      <c r="N11" s="131">
        <v>3637.89</v>
      </c>
      <c r="O11" s="84">
        <f>'Subsidio Ene-Mar'!R13-'1 Subsidio Ene-Mar'!N11</f>
        <v>25194</v>
      </c>
      <c r="P11" s="56">
        <f t="shared" si="3"/>
        <v>-21556.11</v>
      </c>
      <c r="Q11" s="152">
        <f t="shared" si="4"/>
        <v>-5.9254430452817433</v>
      </c>
      <c r="R11" s="30" t="s">
        <v>6</v>
      </c>
    </row>
    <row r="12" spans="1:18" ht="28.5" customHeight="1" x14ac:dyDescent="0.2">
      <c r="A12" s="26">
        <f t="shared" si="2"/>
        <v>5</v>
      </c>
      <c r="B12" s="36" t="s">
        <v>48</v>
      </c>
      <c r="C12" s="28" t="s">
        <v>49</v>
      </c>
      <c r="D12" s="29">
        <v>2800</v>
      </c>
      <c r="E12" s="29">
        <v>2800</v>
      </c>
      <c r="F12" s="29">
        <v>1909</v>
      </c>
      <c r="G12" s="29">
        <v>1912</v>
      </c>
      <c r="H12" s="29">
        <f t="shared" ref="H12:H25" si="6">G12-F12</f>
        <v>3</v>
      </c>
      <c r="I12" s="151">
        <f t="shared" ref="I12:I25" si="7">(G12/F12)-1</f>
        <v>1.5715034049239573E-3</v>
      </c>
      <c r="J12" s="84">
        <f>426463*2</f>
        <v>852926</v>
      </c>
      <c r="K12" s="84">
        <v>23716</v>
      </c>
      <c r="L12" s="84"/>
      <c r="M12" s="84">
        <f t="shared" si="1"/>
        <v>876642</v>
      </c>
      <c r="N12" s="131">
        <v>210249.72</v>
      </c>
      <c r="O12" s="84">
        <f>'Subsidio Ene-Mar'!R14-'1 Subsidio Ene-Mar'!N12</f>
        <v>142792</v>
      </c>
      <c r="P12" s="56">
        <f t="shared" si="3"/>
        <v>67457.72</v>
      </c>
      <c r="Q12" s="152">
        <f t="shared" si="4"/>
        <v>0.32084570671485318</v>
      </c>
      <c r="R12" s="30" t="s">
        <v>7</v>
      </c>
    </row>
    <row r="13" spans="1:18" s="34" customFormat="1" ht="28.5" customHeight="1" x14ac:dyDescent="0.2">
      <c r="A13" s="26">
        <f t="shared" si="2"/>
        <v>6</v>
      </c>
      <c r="B13" s="36" t="s">
        <v>50</v>
      </c>
      <c r="C13" s="33" t="s">
        <v>90</v>
      </c>
      <c r="D13" s="29">
        <v>1012</v>
      </c>
      <c r="E13" s="29">
        <v>1012</v>
      </c>
      <c r="F13" s="29">
        <v>250</v>
      </c>
      <c r="G13" s="29">
        <v>287</v>
      </c>
      <c r="H13" s="29">
        <f t="shared" si="6"/>
        <v>37</v>
      </c>
      <c r="I13" s="151">
        <f t="shared" si="7"/>
        <v>0.14799999999999991</v>
      </c>
      <c r="J13" s="84">
        <f>12921*2</f>
        <v>25842</v>
      </c>
      <c r="K13" s="84"/>
      <c r="L13" s="84"/>
      <c r="M13" s="84">
        <f t="shared" si="1"/>
        <v>25842</v>
      </c>
      <c r="N13" s="131">
        <v>2953.7</v>
      </c>
      <c r="O13" s="84">
        <f>'Subsidio Ene-Mar'!R15-'1 Subsidio Ene-Mar'!N13</f>
        <v>4500</v>
      </c>
      <c r="P13" s="56">
        <f t="shared" si="3"/>
        <v>-1546.3000000000002</v>
      </c>
      <c r="Q13" s="152">
        <f t="shared" si="4"/>
        <v>-0.52351288214781466</v>
      </c>
      <c r="R13" s="30" t="s">
        <v>8</v>
      </c>
    </row>
    <row r="14" spans="1:18" s="34" customFormat="1" ht="28.5" customHeight="1" x14ac:dyDescent="0.2">
      <c r="A14" s="26">
        <f t="shared" si="2"/>
        <v>7</v>
      </c>
      <c r="B14" s="36" t="s">
        <v>52</v>
      </c>
      <c r="C14" s="28" t="s">
        <v>117</v>
      </c>
      <c r="D14" s="29">
        <v>7629</v>
      </c>
      <c r="E14" s="29">
        <v>7629</v>
      </c>
      <c r="F14" s="29">
        <v>3100</v>
      </c>
      <c r="G14" s="29">
        <v>2576</v>
      </c>
      <c r="H14" s="29">
        <f t="shared" si="6"/>
        <v>-524</v>
      </c>
      <c r="I14" s="151">
        <f t="shared" si="7"/>
        <v>-0.16903225806451616</v>
      </c>
      <c r="J14" s="84">
        <f>58516.5*2</f>
        <v>117033</v>
      </c>
      <c r="K14" s="84"/>
      <c r="L14" s="84"/>
      <c r="M14" s="84">
        <f t="shared" si="1"/>
        <v>117033</v>
      </c>
      <c r="N14" s="131">
        <v>27696.9</v>
      </c>
      <c r="O14" s="84">
        <f>'Subsidio Ene-Mar'!R16-'1 Subsidio Ene-Mar'!N14</f>
        <v>490</v>
      </c>
      <c r="P14" s="56">
        <f t="shared" si="3"/>
        <v>27206.9</v>
      </c>
      <c r="Q14" s="152">
        <f t="shared" si="4"/>
        <v>0.98230848939773041</v>
      </c>
      <c r="R14" s="30" t="s">
        <v>9</v>
      </c>
    </row>
    <row r="15" spans="1:18" s="34" customFormat="1" ht="28.5" customHeight="1" x14ac:dyDescent="0.2">
      <c r="A15" s="26">
        <f t="shared" si="2"/>
        <v>8</v>
      </c>
      <c r="B15" s="36" t="s">
        <v>53</v>
      </c>
      <c r="C15" s="28" t="s">
        <v>54</v>
      </c>
      <c r="D15" s="29">
        <v>56</v>
      </c>
      <c r="E15" s="29">
        <v>56</v>
      </c>
      <c r="F15" s="29">
        <v>7</v>
      </c>
      <c r="G15" s="29">
        <v>18</v>
      </c>
      <c r="H15" s="29">
        <f t="shared" si="6"/>
        <v>11</v>
      </c>
      <c r="I15" s="151">
        <f t="shared" si="7"/>
        <v>1.5714285714285716</v>
      </c>
      <c r="J15" s="84">
        <f>64618*2</f>
        <v>129236</v>
      </c>
      <c r="K15" s="84"/>
      <c r="L15" s="84"/>
      <c r="M15" s="84">
        <f t="shared" si="1"/>
        <v>129236</v>
      </c>
      <c r="N15" s="131">
        <v>73688.2</v>
      </c>
      <c r="O15" s="84">
        <f>'Subsidio Ene-Mar'!R17-'1 Subsidio Ene-Mar'!N15</f>
        <v>96956</v>
      </c>
      <c r="P15" s="56">
        <f t="shared" si="3"/>
        <v>-23267.800000000003</v>
      </c>
      <c r="Q15" s="152">
        <f t="shared" si="4"/>
        <v>-0.31576018955545126</v>
      </c>
      <c r="R15" s="30" t="s">
        <v>10</v>
      </c>
    </row>
    <row r="16" spans="1:18" ht="28.5" customHeight="1" x14ac:dyDescent="0.2">
      <c r="A16" s="26">
        <f t="shared" si="2"/>
        <v>9</v>
      </c>
      <c r="B16" s="36" t="s">
        <v>56</v>
      </c>
      <c r="C16" s="28" t="s">
        <v>57</v>
      </c>
      <c r="D16" s="29">
        <v>20</v>
      </c>
      <c r="E16" s="29">
        <v>20</v>
      </c>
      <c r="F16" s="29">
        <v>2</v>
      </c>
      <c r="G16" s="29">
        <v>0</v>
      </c>
      <c r="H16" s="29">
        <f t="shared" si="6"/>
        <v>-2</v>
      </c>
      <c r="I16" s="151">
        <f t="shared" si="7"/>
        <v>-1</v>
      </c>
      <c r="J16" s="84">
        <f>65126*2</f>
        <v>130252</v>
      </c>
      <c r="K16" s="84">
        <v>20000</v>
      </c>
      <c r="L16" s="84"/>
      <c r="M16" s="84">
        <f t="shared" si="1"/>
        <v>150252</v>
      </c>
      <c r="N16" s="131">
        <v>39041.39</v>
      </c>
      <c r="O16" s="84">
        <f>'Subsidio Ene-Mar'!R18-'1 Subsidio Ene-Mar'!N16</f>
        <v>27598</v>
      </c>
      <c r="P16" s="56">
        <f t="shared" si="3"/>
        <v>11443.39</v>
      </c>
      <c r="Q16" s="152">
        <f t="shared" si="4"/>
        <v>0.29310918489326326</v>
      </c>
      <c r="R16" s="30" t="s">
        <v>11</v>
      </c>
    </row>
    <row r="17" spans="1:18" s="34" customFormat="1" ht="28.5" customHeight="1" x14ac:dyDescent="0.2">
      <c r="A17" s="26">
        <f t="shared" si="2"/>
        <v>10</v>
      </c>
      <c r="B17" s="36" t="s">
        <v>55</v>
      </c>
      <c r="C17" s="28" t="s">
        <v>91</v>
      </c>
      <c r="D17" s="29">
        <v>1</v>
      </c>
      <c r="E17" s="29">
        <v>1</v>
      </c>
      <c r="F17" s="29">
        <v>0.5</v>
      </c>
      <c r="G17" s="29">
        <v>0.5</v>
      </c>
      <c r="H17" s="29">
        <f t="shared" si="6"/>
        <v>0</v>
      </c>
      <c r="I17" s="151">
        <f t="shared" si="7"/>
        <v>0</v>
      </c>
      <c r="J17" s="84">
        <f>2637.5*2</f>
        <v>5275</v>
      </c>
      <c r="K17" s="84"/>
      <c r="L17" s="84"/>
      <c r="M17" s="84">
        <f t="shared" si="1"/>
        <v>5275</v>
      </c>
      <c r="N17" s="131">
        <v>758.04</v>
      </c>
      <c r="O17" s="84">
        <f>'Subsidio Ene-Mar'!R20-'1 Subsidio Ene-Mar'!N17</f>
        <v>54908</v>
      </c>
      <c r="P17" s="56">
        <f t="shared" si="3"/>
        <v>-54149.96</v>
      </c>
      <c r="Q17" s="152">
        <f t="shared" si="4"/>
        <v>-71.434172339190553</v>
      </c>
      <c r="R17" s="30" t="s">
        <v>12</v>
      </c>
    </row>
    <row r="18" spans="1:18" ht="28.5" customHeight="1" x14ac:dyDescent="0.2">
      <c r="A18" s="26">
        <f t="shared" si="2"/>
        <v>11</v>
      </c>
      <c r="B18" s="36" t="s">
        <v>42</v>
      </c>
      <c r="C18" s="28" t="s">
        <v>43</v>
      </c>
      <c r="D18" s="29">
        <v>4</v>
      </c>
      <c r="E18" s="29">
        <v>4</v>
      </c>
      <c r="F18" s="29">
        <v>0</v>
      </c>
      <c r="G18" s="29">
        <v>1</v>
      </c>
      <c r="H18" s="29">
        <f t="shared" si="6"/>
        <v>1</v>
      </c>
      <c r="I18" s="151">
        <v>0</v>
      </c>
      <c r="J18" s="84">
        <f>66197.5*2</f>
        <v>132395</v>
      </c>
      <c r="K18" s="84"/>
      <c r="L18" s="84"/>
      <c r="M18" s="84">
        <f t="shared" si="1"/>
        <v>132395</v>
      </c>
      <c r="N18" s="131">
        <v>26107.83</v>
      </c>
      <c r="O18" s="84">
        <f>'Subsidio Ene-Mar'!R21-'1 Subsidio Ene-Mar'!N18</f>
        <v>51152</v>
      </c>
      <c r="P18" s="56">
        <f t="shared" si="3"/>
        <v>-25044.17</v>
      </c>
      <c r="Q18" s="152">
        <f t="shared" si="4"/>
        <v>-0.95925896560533741</v>
      </c>
      <c r="R18" s="30" t="s">
        <v>14</v>
      </c>
    </row>
    <row r="19" spans="1:18" s="34" customFormat="1" ht="28.5" customHeight="1" x14ac:dyDescent="0.2">
      <c r="A19" s="26">
        <f t="shared" si="2"/>
        <v>12</v>
      </c>
      <c r="B19" s="36" t="s">
        <v>128</v>
      </c>
      <c r="C19" s="28" t="s">
        <v>62</v>
      </c>
      <c r="D19" s="29">
        <v>174</v>
      </c>
      <c r="E19" s="29">
        <v>174</v>
      </c>
      <c r="F19" s="29">
        <v>39</v>
      </c>
      <c r="G19" s="29">
        <v>39</v>
      </c>
      <c r="H19" s="29">
        <f t="shared" si="6"/>
        <v>0</v>
      </c>
      <c r="I19" s="151">
        <f t="shared" si="7"/>
        <v>0</v>
      </c>
      <c r="J19" s="84">
        <f>190134.5*2</f>
        <v>380269</v>
      </c>
      <c r="K19" s="84"/>
      <c r="L19" s="84"/>
      <c r="M19" s="84">
        <f t="shared" si="1"/>
        <v>380269</v>
      </c>
      <c r="N19" s="131">
        <v>263863.49</v>
      </c>
      <c r="O19" s="84">
        <f>'Subsidio Ene-Mar'!R22-'1 Subsidio Ene-Mar'!N19</f>
        <v>-5897.2000000000007</v>
      </c>
      <c r="P19" s="56">
        <f t="shared" si="3"/>
        <v>269760.69</v>
      </c>
      <c r="Q19" s="152">
        <f t="shared" si="4"/>
        <v>1.0223494353083862</v>
      </c>
      <c r="R19" s="35" t="s">
        <v>16</v>
      </c>
    </row>
    <row r="20" spans="1:18" ht="28.5" customHeight="1" x14ac:dyDescent="0.2">
      <c r="A20" s="26">
        <f t="shared" si="2"/>
        <v>13</v>
      </c>
      <c r="B20" s="36" t="s">
        <v>58</v>
      </c>
      <c r="C20" s="28" t="s">
        <v>92</v>
      </c>
      <c r="D20" s="29">
        <v>60</v>
      </c>
      <c r="E20" s="29">
        <v>60</v>
      </c>
      <c r="F20" s="29">
        <v>23</v>
      </c>
      <c r="G20" s="29">
        <v>35</v>
      </c>
      <c r="H20" s="29">
        <f t="shared" si="6"/>
        <v>12</v>
      </c>
      <c r="I20" s="151">
        <f t="shared" si="7"/>
        <v>0.52173913043478271</v>
      </c>
      <c r="J20" s="84">
        <f>51315*2</f>
        <v>102630</v>
      </c>
      <c r="K20" s="84"/>
      <c r="L20" s="84"/>
      <c r="M20" s="84">
        <f t="shared" si="1"/>
        <v>102630</v>
      </c>
      <c r="N20" s="131">
        <v>6200</v>
      </c>
      <c r="O20" s="84">
        <f>'Subsidio Ene-Mar'!R24-'1 Subsidio Ene-Mar'!N20</f>
        <v>2341216</v>
      </c>
      <c r="P20" s="56">
        <f t="shared" si="3"/>
        <v>-2335016</v>
      </c>
      <c r="Q20" s="152">
        <f t="shared" si="4"/>
        <v>-376.61548387096775</v>
      </c>
      <c r="R20" s="35" t="s">
        <v>17</v>
      </c>
    </row>
    <row r="21" spans="1:18" s="34" customFormat="1" ht="28.5" customHeight="1" x14ac:dyDescent="0.2">
      <c r="A21" s="26">
        <f t="shared" si="2"/>
        <v>14</v>
      </c>
      <c r="B21" s="36" t="s">
        <v>63</v>
      </c>
      <c r="C21" s="28" t="s">
        <v>93</v>
      </c>
      <c r="D21" s="29">
        <v>58</v>
      </c>
      <c r="E21" s="29">
        <v>60</v>
      </c>
      <c r="F21" s="29">
        <v>15</v>
      </c>
      <c r="G21" s="29">
        <v>15</v>
      </c>
      <c r="H21" s="29">
        <f t="shared" si="6"/>
        <v>0</v>
      </c>
      <c r="I21" s="151">
        <f t="shared" si="7"/>
        <v>0</v>
      </c>
      <c r="J21" s="84">
        <f>1462820.5*2</f>
        <v>2925641</v>
      </c>
      <c r="K21" s="84">
        <v>2343165</v>
      </c>
      <c r="L21" s="84"/>
      <c r="M21" s="84">
        <f t="shared" si="1"/>
        <v>5268806</v>
      </c>
      <c r="N21" s="131">
        <v>1369640.58</v>
      </c>
      <c r="O21" s="84">
        <f>'Subsidio Ene-Mar'!R26-'1 Subsidio Ene-Mar'!N21</f>
        <v>-1402345</v>
      </c>
      <c r="P21" s="56">
        <f t="shared" si="3"/>
        <v>2771985.58</v>
      </c>
      <c r="Q21" s="152">
        <f t="shared" si="4"/>
        <v>2.0238781038453166</v>
      </c>
      <c r="R21" s="35" t="s">
        <v>18</v>
      </c>
    </row>
    <row r="22" spans="1:18" s="34" customFormat="1" ht="28.5" customHeight="1" x14ac:dyDescent="0.2">
      <c r="A22" s="26">
        <f t="shared" si="2"/>
        <v>15</v>
      </c>
      <c r="B22" s="36" t="s">
        <v>65</v>
      </c>
      <c r="C22" s="37" t="s">
        <v>66</v>
      </c>
      <c r="D22" s="29">
        <v>1</v>
      </c>
      <c r="E22" s="29">
        <v>1</v>
      </c>
      <c r="F22" s="29">
        <f>+'Tula Subsidio'!E22+'UACh Subsidio'!E15</f>
        <v>0.25</v>
      </c>
      <c r="G22" s="29">
        <v>0.25</v>
      </c>
      <c r="H22" s="29">
        <f t="shared" si="6"/>
        <v>0</v>
      </c>
      <c r="I22" s="151">
        <f t="shared" si="7"/>
        <v>0</v>
      </c>
      <c r="J22" s="84">
        <f>33034130.5*2</f>
        <v>66068261</v>
      </c>
      <c r="K22" s="84">
        <v>32318</v>
      </c>
      <c r="L22" s="84">
        <v>2500000</v>
      </c>
      <c r="M22" s="84">
        <f>J22+K22-L22-1</f>
        <v>63600578</v>
      </c>
      <c r="N22" s="131">
        <v>16469241.619999999</v>
      </c>
      <c r="O22" s="84">
        <f>'Subsidio Ene-Mar'!R27-'1 Subsidio Ene-Mar'!N22</f>
        <v>-13843972</v>
      </c>
      <c r="P22" s="56">
        <f t="shared" si="3"/>
        <v>30313213.619999997</v>
      </c>
      <c r="Q22" s="152">
        <f t="shared" si="4"/>
        <v>1.8405955975039001</v>
      </c>
      <c r="R22" s="35" t="s">
        <v>19</v>
      </c>
    </row>
    <row r="23" spans="1:18" s="34" customFormat="1" ht="28.5" customHeight="1" x14ac:dyDescent="0.2">
      <c r="A23" s="26">
        <f t="shared" si="2"/>
        <v>16</v>
      </c>
      <c r="B23" s="36" t="s">
        <v>123</v>
      </c>
      <c r="C23" s="33" t="s">
        <v>60</v>
      </c>
      <c r="D23" s="29">
        <v>4</v>
      </c>
      <c r="E23" s="29">
        <v>4</v>
      </c>
      <c r="F23" s="29">
        <v>1</v>
      </c>
      <c r="G23" s="29">
        <v>1</v>
      </c>
      <c r="H23" s="29">
        <f t="shared" si="6"/>
        <v>0</v>
      </c>
      <c r="I23" s="151">
        <f t="shared" si="7"/>
        <v>0</v>
      </c>
      <c r="J23" s="84">
        <f>297876.5*2</f>
        <v>595753</v>
      </c>
      <c r="K23" s="84"/>
      <c r="L23" s="84"/>
      <c r="M23" s="84">
        <f t="shared" si="1"/>
        <v>595753</v>
      </c>
      <c r="N23" s="131">
        <v>196480.77</v>
      </c>
      <c r="O23" s="84" t="e">
        <f>'Subsidio Ene-Mar'!#REF!-'1 Subsidio Ene-Mar'!N23</f>
        <v>#REF!</v>
      </c>
      <c r="P23" s="56" t="e">
        <f t="shared" si="3"/>
        <v>#REF!</v>
      </c>
      <c r="Q23" s="152" t="e">
        <f t="shared" si="4"/>
        <v>#REF!</v>
      </c>
      <c r="R23" s="30" t="s">
        <v>20</v>
      </c>
    </row>
    <row r="24" spans="1:18" s="34" customFormat="1" ht="28.5" customHeight="1" x14ac:dyDescent="0.2">
      <c r="A24" s="26">
        <f t="shared" si="2"/>
        <v>17</v>
      </c>
      <c r="B24" s="36" t="s">
        <v>124</v>
      </c>
      <c r="C24" s="37" t="s">
        <v>94</v>
      </c>
      <c r="D24" s="29">
        <v>61</v>
      </c>
      <c r="E24" s="29">
        <v>61</v>
      </c>
      <c r="F24" s="29">
        <f>+'Tula Subsidio'!E24</f>
        <v>15</v>
      </c>
      <c r="G24" s="29">
        <v>15</v>
      </c>
      <c r="H24" s="29">
        <f t="shared" si="6"/>
        <v>0</v>
      </c>
      <c r="I24" s="151">
        <f t="shared" si="7"/>
        <v>0</v>
      </c>
      <c r="J24" s="84">
        <f>55952*2</f>
        <v>111904</v>
      </c>
      <c r="K24" s="84"/>
      <c r="L24" s="84"/>
      <c r="M24" s="84">
        <f t="shared" si="1"/>
        <v>111904</v>
      </c>
      <c r="N24" s="131">
        <v>33593.57</v>
      </c>
      <c r="O24" s="84" t="e">
        <f>'Subsidio Ene-Mar'!#REF!-'1 Subsidio Ene-Mar'!N24</f>
        <v>#REF!</v>
      </c>
      <c r="P24" s="56" t="e">
        <f t="shared" si="3"/>
        <v>#REF!</v>
      </c>
      <c r="Q24" s="152" t="e">
        <f t="shared" si="4"/>
        <v>#REF!</v>
      </c>
      <c r="R24" s="30" t="s">
        <v>21</v>
      </c>
    </row>
    <row r="25" spans="1:18" s="45" customFormat="1" ht="30" customHeight="1" x14ac:dyDescent="0.2">
      <c r="A25" s="220" t="s">
        <v>1</v>
      </c>
      <c r="B25" s="221"/>
      <c r="C25" s="222"/>
      <c r="D25" s="99">
        <f>SUM(D8:D24)</f>
        <v>12924</v>
      </c>
      <c r="E25" s="99">
        <f>SUM(E8:E24)</f>
        <v>12930</v>
      </c>
      <c r="F25" s="100">
        <f>SUM(F8:F24)</f>
        <v>6001.75</v>
      </c>
      <c r="G25" s="100">
        <f>SUM(G8:G24)</f>
        <v>5541.75</v>
      </c>
      <c r="H25" s="100">
        <f t="shared" si="6"/>
        <v>-460</v>
      </c>
      <c r="I25" s="148">
        <f t="shared" si="7"/>
        <v>-7.6644312075644594E-2</v>
      </c>
      <c r="J25" s="103">
        <f>SUM(J8:J24)-2</f>
        <v>71807856</v>
      </c>
      <c r="K25" s="104">
        <f>SUM(K8:K24)+1</f>
        <v>2500000</v>
      </c>
      <c r="L25" s="104">
        <f t="shared" ref="L25:M25" si="8">SUM(L8:L24)</f>
        <v>2500000</v>
      </c>
      <c r="M25" s="103">
        <f t="shared" si="8"/>
        <v>71807856</v>
      </c>
      <c r="N25" s="105">
        <f>SUM(N8:N24)</f>
        <v>18861337.91</v>
      </c>
      <c r="O25" s="106" t="e">
        <f>SUM(O8:O24)</f>
        <v>#REF!</v>
      </c>
      <c r="P25" s="153" t="e">
        <f t="shared" si="3"/>
        <v>#REF!</v>
      </c>
      <c r="Q25" s="148" t="e">
        <f t="shared" si="4"/>
        <v>#REF!</v>
      </c>
      <c r="R25" s="44"/>
    </row>
    <row r="26" spans="1:18" s="50" customFormat="1" ht="20.25" customHeight="1" x14ac:dyDescent="0.2">
      <c r="A26" s="46"/>
      <c r="B26" s="46"/>
      <c r="C26" s="46"/>
      <c r="D26" s="46"/>
      <c r="E26" s="46"/>
      <c r="F26" s="111"/>
      <c r="G26" s="111"/>
      <c r="H26" s="46"/>
      <c r="I26" s="47"/>
      <c r="J26" s="48"/>
      <c r="K26" s="112"/>
      <c r="L26" s="112"/>
      <c r="M26" s="48"/>
      <c r="N26" s="90"/>
      <c r="O26" s="113"/>
      <c r="P26" s="48"/>
      <c r="Q26" s="49"/>
      <c r="R26" s="48"/>
    </row>
    <row r="27" spans="1:18" s="50" customFormat="1" ht="20.25" customHeight="1" x14ac:dyDescent="0.2">
      <c r="A27" s="46"/>
      <c r="B27" s="46"/>
      <c r="C27" s="46"/>
      <c r="D27" s="46"/>
      <c r="E27" s="46"/>
      <c r="F27" s="111"/>
      <c r="G27" s="111"/>
      <c r="H27" s="46"/>
      <c r="I27" s="47"/>
      <c r="J27" s="48"/>
      <c r="K27" s="112"/>
      <c r="L27" s="112"/>
      <c r="M27" s="48"/>
      <c r="N27" s="90"/>
      <c r="O27" s="113"/>
      <c r="P27" s="48"/>
      <c r="Q27" s="49"/>
      <c r="R27" s="48"/>
    </row>
    <row r="28" spans="1:18" s="107" customFormat="1" ht="15" x14ac:dyDescent="0.25"/>
    <row r="29" spans="1:18" s="107" customFormat="1" ht="15" x14ac:dyDescent="0.25"/>
    <row r="30" spans="1:18" s="107" customFormat="1" ht="15" x14ac:dyDescent="0.25"/>
    <row r="31" spans="1:18" s="107" customFormat="1" ht="15" x14ac:dyDescent="0.25"/>
    <row r="32" spans="1:18" s="107" customFormat="1" ht="15" x14ac:dyDescent="0.25"/>
    <row r="33" spans="1:18" s="107" customFormat="1" ht="15" x14ac:dyDescent="0.25"/>
    <row r="34" spans="1:18" s="107" customFormat="1" ht="15" x14ac:dyDescent="0.25"/>
    <row r="35" spans="1:18" s="107" customFormat="1" ht="15" x14ac:dyDescent="0.25">
      <c r="R35" s="159">
        <v>5</v>
      </c>
    </row>
    <row r="36" spans="1:18" s="107" customFormat="1" ht="15" x14ac:dyDescent="0.25"/>
    <row r="37" spans="1:18" s="107" customFormat="1" ht="27.75" customHeight="1" x14ac:dyDescent="0.25"/>
    <row r="38" spans="1:18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91"/>
      <c r="O38" s="78"/>
      <c r="P38" s="78"/>
      <c r="Q38" s="78"/>
      <c r="R38" s="78"/>
    </row>
    <row r="40" spans="1:18" x14ac:dyDescent="0.2">
      <c r="N40" s="51"/>
    </row>
    <row r="42" spans="1:18" x14ac:dyDescent="0.2">
      <c r="O42" s="76"/>
    </row>
  </sheetData>
  <mergeCells count="20">
    <mergeCell ref="D5:I5"/>
    <mergeCell ref="A1:Q1"/>
    <mergeCell ref="A2:Q2"/>
    <mergeCell ref="A3:Q3"/>
    <mergeCell ref="A5:A7"/>
    <mergeCell ref="B5:B7"/>
    <mergeCell ref="C5:C7"/>
    <mergeCell ref="J5:R5"/>
    <mergeCell ref="F6:F7"/>
    <mergeCell ref="N6:N7"/>
    <mergeCell ref="O6:O7"/>
    <mergeCell ref="P6:Q6"/>
    <mergeCell ref="R6:R7"/>
    <mergeCell ref="M6:M7"/>
    <mergeCell ref="A25:C25"/>
    <mergeCell ref="G6:G7"/>
    <mergeCell ref="H6:I6"/>
    <mergeCell ref="J6:J7"/>
    <mergeCell ref="K6:L6"/>
    <mergeCell ref="D6:E6"/>
  </mergeCells>
  <printOptions horizontalCentered="1"/>
  <pageMargins left="0" right="0" top="0.78740157480314965" bottom="0.23622047244094491" header="0.19685039370078741" footer="0.15748031496062992"/>
  <pageSetup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31"/>
  <sheetViews>
    <sheetView topLeftCell="A10" zoomScale="90" zoomScaleNormal="90" workbookViewId="0">
      <selection activeCell="R43" sqref="R43"/>
    </sheetView>
  </sheetViews>
  <sheetFormatPr baseColWidth="10" defaultRowHeight="12.75" x14ac:dyDescent="0.25"/>
  <cols>
    <col min="1" max="1" width="5.28515625" style="70" customWidth="1"/>
    <col min="2" max="2" width="25.42578125" style="70" customWidth="1"/>
    <col min="3" max="3" width="15.7109375" style="70" customWidth="1"/>
    <col min="4" max="4" width="9.7109375" style="70" bestFit="1" customWidth="1"/>
    <col min="5" max="5" width="11.85546875" style="70" bestFit="1" customWidth="1"/>
    <col min="6" max="6" width="11.28515625" style="70" bestFit="1" customWidth="1"/>
    <col min="7" max="7" width="11.85546875" style="70" bestFit="1" customWidth="1"/>
    <col min="8" max="8" width="9.85546875" style="70" bestFit="1" customWidth="1"/>
    <col min="9" max="9" width="7.5703125" style="70" bestFit="1" customWidth="1"/>
    <col min="10" max="10" width="12.42578125" style="70" customWidth="1"/>
    <col min="11" max="11" width="12" style="70" bestFit="1" customWidth="1"/>
    <col min="12" max="12" width="10.7109375" style="70" bestFit="1" customWidth="1"/>
    <col min="13" max="13" width="11.85546875" style="70" bestFit="1" customWidth="1"/>
    <col min="14" max="14" width="14.42578125" style="70" customWidth="1"/>
    <col min="15" max="15" width="11.140625" style="70" bestFit="1" customWidth="1"/>
    <col min="16" max="16" width="11" style="70" bestFit="1" customWidth="1"/>
    <col min="17" max="17" width="6.7109375" style="70" bestFit="1" customWidth="1"/>
    <col min="18" max="18" width="9.85546875" style="64" bestFit="1" customWidth="1"/>
    <col min="19" max="222" width="11.42578125" style="64"/>
    <col min="223" max="223" width="5.28515625" style="64" customWidth="1"/>
    <col min="224" max="224" width="25.42578125" style="64" customWidth="1"/>
    <col min="225" max="225" width="13" style="64" customWidth="1"/>
    <col min="226" max="226" width="9.5703125" style="64" customWidth="1"/>
    <col min="227" max="227" width="12" style="64" customWidth="1"/>
    <col min="228" max="228" width="12.28515625" style="64" customWidth="1"/>
    <col min="229" max="229" width="11.28515625" style="64" customWidth="1"/>
    <col min="230" max="230" width="10.85546875" style="64" customWidth="1"/>
    <col min="231" max="231" width="11.5703125" style="64" customWidth="1"/>
    <col min="232" max="232" width="12.5703125" style="64" customWidth="1"/>
    <col min="233" max="233" width="12.28515625" style="64" customWidth="1"/>
    <col min="234" max="234" width="12.140625" style="64" customWidth="1"/>
    <col min="235" max="235" width="0" style="64" hidden="1" customWidth="1"/>
    <col min="236" max="236" width="11.28515625" style="64" customWidth="1"/>
    <col min="237" max="237" width="11.140625" style="64" customWidth="1"/>
    <col min="238" max="239" width="0" style="64" hidden="1" customWidth="1"/>
    <col min="240" max="240" width="8.85546875" style="64" bestFit="1" customWidth="1"/>
    <col min="241" max="478" width="11.42578125" style="64"/>
    <col min="479" max="479" width="5.28515625" style="64" customWidth="1"/>
    <col min="480" max="480" width="25.42578125" style="64" customWidth="1"/>
    <col min="481" max="481" width="13" style="64" customWidth="1"/>
    <col min="482" max="482" width="9.5703125" style="64" customWidth="1"/>
    <col min="483" max="483" width="12" style="64" customWidth="1"/>
    <col min="484" max="484" width="12.28515625" style="64" customWidth="1"/>
    <col min="485" max="485" width="11.28515625" style="64" customWidth="1"/>
    <col min="486" max="486" width="10.85546875" style="64" customWidth="1"/>
    <col min="487" max="487" width="11.5703125" style="64" customWidth="1"/>
    <col min="488" max="488" width="12.5703125" style="64" customWidth="1"/>
    <col min="489" max="489" width="12.28515625" style="64" customWidth="1"/>
    <col min="490" max="490" width="12.140625" style="64" customWidth="1"/>
    <col min="491" max="491" width="0" style="64" hidden="1" customWidth="1"/>
    <col min="492" max="492" width="11.28515625" style="64" customWidth="1"/>
    <col min="493" max="493" width="11.140625" style="64" customWidth="1"/>
    <col min="494" max="495" width="0" style="64" hidden="1" customWidth="1"/>
    <col min="496" max="496" width="8.85546875" style="64" bestFit="1" customWidth="1"/>
    <col min="497" max="734" width="11.42578125" style="64"/>
    <col min="735" max="735" width="5.28515625" style="64" customWidth="1"/>
    <col min="736" max="736" width="25.42578125" style="64" customWidth="1"/>
    <col min="737" max="737" width="13" style="64" customWidth="1"/>
    <col min="738" max="738" width="9.5703125" style="64" customWidth="1"/>
    <col min="739" max="739" width="12" style="64" customWidth="1"/>
    <col min="740" max="740" width="12.28515625" style="64" customWidth="1"/>
    <col min="741" max="741" width="11.28515625" style="64" customWidth="1"/>
    <col min="742" max="742" width="10.85546875" style="64" customWidth="1"/>
    <col min="743" max="743" width="11.5703125" style="64" customWidth="1"/>
    <col min="744" max="744" width="12.5703125" style="64" customWidth="1"/>
    <col min="745" max="745" width="12.28515625" style="64" customWidth="1"/>
    <col min="746" max="746" width="12.140625" style="64" customWidth="1"/>
    <col min="747" max="747" width="0" style="64" hidden="1" customWidth="1"/>
    <col min="748" max="748" width="11.28515625" style="64" customWidth="1"/>
    <col min="749" max="749" width="11.140625" style="64" customWidth="1"/>
    <col min="750" max="751" width="0" style="64" hidden="1" customWidth="1"/>
    <col min="752" max="752" width="8.85546875" style="64" bestFit="1" customWidth="1"/>
    <col min="753" max="990" width="11.42578125" style="64"/>
    <col min="991" max="991" width="5.28515625" style="64" customWidth="1"/>
    <col min="992" max="992" width="25.42578125" style="64" customWidth="1"/>
    <col min="993" max="993" width="13" style="64" customWidth="1"/>
    <col min="994" max="994" width="9.5703125" style="64" customWidth="1"/>
    <col min="995" max="995" width="12" style="64" customWidth="1"/>
    <col min="996" max="996" width="12.28515625" style="64" customWidth="1"/>
    <col min="997" max="997" width="11.28515625" style="64" customWidth="1"/>
    <col min="998" max="998" width="10.85546875" style="64" customWidth="1"/>
    <col min="999" max="999" width="11.5703125" style="64" customWidth="1"/>
    <col min="1000" max="1000" width="12.5703125" style="64" customWidth="1"/>
    <col min="1001" max="1001" width="12.28515625" style="64" customWidth="1"/>
    <col min="1002" max="1002" width="12.140625" style="64" customWidth="1"/>
    <col min="1003" max="1003" width="0" style="64" hidden="1" customWidth="1"/>
    <col min="1004" max="1004" width="11.28515625" style="64" customWidth="1"/>
    <col min="1005" max="1005" width="11.140625" style="64" customWidth="1"/>
    <col min="1006" max="1007" width="0" style="64" hidden="1" customWidth="1"/>
    <col min="1008" max="1008" width="8.85546875" style="64" bestFit="1" customWidth="1"/>
    <col min="1009" max="1246" width="11.42578125" style="64"/>
    <col min="1247" max="1247" width="5.28515625" style="64" customWidth="1"/>
    <col min="1248" max="1248" width="25.42578125" style="64" customWidth="1"/>
    <col min="1249" max="1249" width="13" style="64" customWidth="1"/>
    <col min="1250" max="1250" width="9.5703125" style="64" customWidth="1"/>
    <col min="1251" max="1251" width="12" style="64" customWidth="1"/>
    <col min="1252" max="1252" width="12.28515625" style="64" customWidth="1"/>
    <col min="1253" max="1253" width="11.28515625" style="64" customWidth="1"/>
    <col min="1254" max="1254" width="10.85546875" style="64" customWidth="1"/>
    <col min="1255" max="1255" width="11.5703125" style="64" customWidth="1"/>
    <col min="1256" max="1256" width="12.5703125" style="64" customWidth="1"/>
    <col min="1257" max="1257" width="12.28515625" style="64" customWidth="1"/>
    <col min="1258" max="1258" width="12.140625" style="64" customWidth="1"/>
    <col min="1259" max="1259" width="0" style="64" hidden="1" customWidth="1"/>
    <col min="1260" max="1260" width="11.28515625" style="64" customWidth="1"/>
    <col min="1261" max="1261" width="11.140625" style="64" customWidth="1"/>
    <col min="1262" max="1263" width="0" style="64" hidden="1" customWidth="1"/>
    <col min="1264" max="1264" width="8.85546875" style="64" bestFit="1" customWidth="1"/>
    <col min="1265" max="1502" width="11.42578125" style="64"/>
    <col min="1503" max="1503" width="5.28515625" style="64" customWidth="1"/>
    <col min="1504" max="1504" width="25.42578125" style="64" customWidth="1"/>
    <col min="1505" max="1505" width="13" style="64" customWidth="1"/>
    <col min="1506" max="1506" width="9.5703125" style="64" customWidth="1"/>
    <col min="1507" max="1507" width="12" style="64" customWidth="1"/>
    <col min="1508" max="1508" width="12.28515625" style="64" customWidth="1"/>
    <col min="1509" max="1509" width="11.28515625" style="64" customWidth="1"/>
    <col min="1510" max="1510" width="10.85546875" style="64" customWidth="1"/>
    <col min="1511" max="1511" width="11.5703125" style="64" customWidth="1"/>
    <col min="1512" max="1512" width="12.5703125" style="64" customWidth="1"/>
    <col min="1513" max="1513" width="12.28515625" style="64" customWidth="1"/>
    <col min="1514" max="1514" width="12.140625" style="64" customWidth="1"/>
    <col min="1515" max="1515" width="0" style="64" hidden="1" customWidth="1"/>
    <col min="1516" max="1516" width="11.28515625" style="64" customWidth="1"/>
    <col min="1517" max="1517" width="11.140625" style="64" customWidth="1"/>
    <col min="1518" max="1519" width="0" style="64" hidden="1" customWidth="1"/>
    <col min="1520" max="1520" width="8.85546875" style="64" bestFit="1" customWidth="1"/>
    <col min="1521" max="1758" width="11.42578125" style="64"/>
    <col min="1759" max="1759" width="5.28515625" style="64" customWidth="1"/>
    <col min="1760" max="1760" width="25.42578125" style="64" customWidth="1"/>
    <col min="1761" max="1761" width="13" style="64" customWidth="1"/>
    <col min="1762" max="1762" width="9.5703125" style="64" customWidth="1"/>
    <col min="1763" max="1763" width="12" style="64" customWidth="1"/>
    <col min="1764" max="1764" width="12.28515625" style="64" customWidth="1"/>
    <col min="1765" max="1765" width="11.28515625" style="64" customWidth="1"/>
    <col min="1766" max="1766" width="10.85546875" style="64" customWidth="1"/>
    <col min="1767" max="1767" width="11.5703125" style="64" customWidth="1"/>
    <col min="1768" max="1768" width="12.5703125" style="64" customWidth="1"/>
    <col min="1769" max="1769" width="12.28515625" style="64" customWidth="1"/>
    <col min="1770" max="1770" width="12.140625" style="64" customWidth="1"/>
    <col min="1771" max="1771" width="0" style="64" hidden="1" customWidth="1"/>
    <col min="1772" max="1772" width="11.28515625" style="64" customWidth="1"/>
    <col min="1773" max="1773" width="11.140625" style="64" customWidth="1"/>
    <col min="1774" max="1775" width="0" style="64" hidden="1" customWidth="1"/>
    <col min="1776" max="1776" width="8.85546875" style="64" bestFit="1" customWidth="1"/>
    <col min="1777" max="2014" width="11.42578125" style="64"/>
    <col min="2015" max="2015" width="5.28515625" style="64" customWidth="1"/>
    <col min="2016" max="2016" width="25.42578125" style="64" customWidth="1"/>
    <col min="2017" max="2017" width="13" style="64" customWidth="1"/>
    <col min="2018" max="2018" width="9.5703125" style="64" customWidth="1"/>
    <col min="2019" max="2019" width="12" style="64" customWidth="1"/>
    <col min="2020" max="2020" width="12.28515625" style="64" customWidth="1"/>
    <col min="2021" max="2021" width="11.28515625" style="64" customWidth="1"/>
    <col min="2022" max="2022" width="10.85546875" style="64" customWidth="1"/>
    <col min="2023" max="2023" width="11.5703125" style="64" customWidth="1"/>
    <col min="2024" max="2024" width="12.5703125" style="64" customWidth="1"/>
    <col min="2025" max="2025" width="12.28515625" style="64" customWidth="1"/>
    <col min="2026" max="2026" width="12.140625" style="64" customWidth="1"/>
    <col min="2027" max="2027" width="0" style="64" hidden="1" customWidth="1"/>
    <col min="2028" max="2028" width="11.28515625" style="64" customWidth="1"/>
    <col min="2029" max="2029" width="11.140625" style="64" customWidth="1"/>
    <col min="2030" max="2031" width="0" style="64" hidden="1" customWidth="1"/>
    <col min="2032" max="2032" width="8.85546875" style="64" bestFit="1" customWidth="1"/>
    <col min="2033" max="2270" width="11.42578125" style="64"/>
    <col min="2271" max="2271" width="5.28515625" style="64" customWidth="1"/>
    <col min="2272" max="2272" width="25.42578125" style="64" customWidth="1"/>
    <col min="2273" max="2273" width="13" style="64" customWidth="1"/>
    <col min="2274" max="2274" width="9.5703125" style="64" customWidth="1"/>
    <col min="2275" max="2275" width="12" style="64" customWidth="1"/>
    <col min="2276" max="2276" width="12.28515625" style="64" customWidth="1"/>
    <col min="2277" max="2277" width="11.28515625" style="64" customWidth="1"/>
    <col min="2278" max="2278" width="10.85546875" style="64" customWidth="1"/>
    <col min="2279" max="2279" width="11.5703125" style="64" customWidth="1"/>
    <col min="2280" max="2280" width="12.5703125" style="64" customWidth="1"/>
    <col min="2281" max="2281" width="12.28515625" style="64" customWidth="1"/>
    <col min="2282" max="2282" width="12.140625" style="64" customWidth="1"/>
    <col min="2283" max="2283" width="0" style="64" hidden="1" customWidth="1"/>
    <col min="2284" max="2284" width="11.28515625" style="64" customWidth="1"/>
    <col min="2285" max="2285" width="11.140625" style="64" customWidth="1"/>
    <col min="2286" max="2287" width="0" style="64" hidden="1" customWidth="1"/>
    <col min="2288" max="2288" width="8.85546875" style="64" bestFit="1" customWidth="1"/>
    <col min="2289" max="2526" width="11.42578125" style="64"/>
    <col min="2527" max="2527" width="5.28515625" style="64" customWidth="1"/>
    <col min="2528" max="2528" width="25.42578125" style="64" customWidth="1"/>
    <col min="2529" max="2529" width="13" style="64" customWidth="1"/>
    <col min="2530" max="2530" width="9.5703125" style="64" customWidth="1"/>
    <col min="2531" max="2531" width="12" style="64" customWidth="1"/>
    <col min="2532" max="2532" width="12.28515625" style="64" customWidth="1"/>
    <col min="2533" max="2533" width="11.28515625" style="64" customWidth="1"/>
    <col min="2534" max="2534" width="10.85546875" style="64" customWidth="1"/>
    <col min="2535" max="2535" width="11.5703125" style="64" customWidth="1"/>
    <col min="2536" max="2536" width="12.5703125" style="64" customWidth="1"/>
    <col min="2537" max="2537" width="12.28515625" style="64" customWidth="1"/>
    <col min="2538" max="2538" width="12.140625" style="64" customWidth="1"/>
    <col min="2539" max="2539" width="0" style="64" hidden="1" customWidth="1"/>
    <col min="2540" max="2540" width="11.28515625" style="64" customWidth="1"/>
    <col min="2541" max="2541" width="11.140625" style="64" customWidth="1"/>
    <col min="2542" max="2543" width="0" style="64" hidden="1" customWidth="1"/>
    <col min="2544" max="2544" width="8.85546875" style="64" bestFit="1" customWidth="1"/>
    <col min="2545" max="2782" width="11.42578125" style="64"/>
    <col min="2783" max="2783" width="5.28515625" style="64" customWidth="1"/>
    <col min="2784" max="2784" width="25.42578125" style="64" customWidth="1"/>
    <col min="2785" max="2785" width="13" style="64" customWidth="1"/>
    <col min="2786" max="2786" width="9.5703125" style="64" customWidth="1"/>
    <col min="2787" max="2787" width="12" style="64" customWidth="1"/>
    <col min="2788" max="2788" width="12.28515625" style="64" customWidth="1"/>
    <col min="2789" max="2789" width="11.28515625" style="64" customWidth="1"/>
    <col min="2790" max="2790" width="10.85546875" style="64" customWidth="1"/>
    <col min="2791" max="2791" width="11.5703125" style="64" customWidth="1"/>
    <col min="2792" max="2792" width="12.5703125" style="64" customWidth="1"/>
    <col min="2793" max="2793" width="12.28515625" style="64" customWidth="1"/>
    <col min="2794" max="2794" width="12.140625" style="64" customWidth="1"/>
    <col min="2795" max="2795" width="0" style="64" hidden="1" customWidth="1"/>
    <col min="2796" max="2796" width="11.28515625" style="64" customWidth="1"/>
    <col min="2797" max="2797" width="11.140625" style="64" customWidth="1"/>
    <col min="2798" max="2799" width="0" style="64" hidden="1" customWidth="1"/>
    <col min="2800" max="2800" width="8.85546875" style="64" bestFit="1" customWidth="1"/>
    <col min="2801" max="3038" width="11.42578125" style="64"/>
    <col min="3039" max="3039" width="5.28515625" style="64" customWidth="1"/>
    <col min="3040" max="3040" width="25.42578125" style="64" customWidth="1"/>
    <col min="3041" max="3041" width="13" style="64" customWidth="1"/>
    <col min="3042" max="3042" width="9.5703125" style="64" customWidth="1"/>
    <col min="3043" max="3043" width="12" style="64" customWidth="1"/>
    <col min="3044" max="3044" width="12.28515625" style="64" customWidth="1"/>
    <col min="3045" max="3045" width="11.28515625" style="64" customWidth="1"/>
    <col min="3046" max="3046" width="10.85546875" style="64" customWidth="1"/>
    <col min="3047" max="3047" width="11.5703125" style="64" customWidth="1"/>
    <col min="3048" max="3048" width="12.5703125" style="64" customWidth="1"/>
    <col min="3049" max="3049" width="12.28515625" style="64" customWidth="1"/>
    <col min="3050" max="3050" width="12.140625" style="64" customWidth="1"/>
    <col min="3051" max="3051" width="0" style="64" hidden="1" customWidth="1"/>
    <col min="3052" max="3052" width="11.28515625" style="64" customWidth="1"/>
    <col min="3053" max="3053" width="11.140625" style="64" customWidth="1"/>
    <col min="3054" max="3055" width="0" style="64" hidden="1" customWidth="1"/>
    <col min="3056" max="3056" width="8.85546875" style="64" bestFit="1" customWidth="1"/>
    <col min="3057" max="3294" width="11.42578125" style="64"/>
    <col min="3295" max="3295" width="5.28515625" style="64" customWidth="1"/>
    <col min="3296" max="3296" width="25.42578125" style="64" customWidth="1"/>
    <col min="3297" max="3297" width="13" style="64" customWidth="1"/>
    <col min="3298" max="3298" width="9.5703125" style="64" customWidth="1"/>
    <col min="3299" max="3299" width="12" style="64" customWidth="1"/>
    <col min="3300" max="3300" width="12.28515625" style="64" customWidth="1"/>
    <col min="3301" max="3301" width="11.28515625" style="64" customWidth="1"/>
    <col min="3302" max="3302" width="10.85546875" style="64" customWidth="1"/>
    <col min="3303" max="3303" width="11.5703125" style="64" customWidth="1"/>
    <col min="3304" max="3304" width="12.5703125" style="64" customWidth="1"/>
    <col min="3305" max="3305" width="12.28515625" style="64" customWidth="1"/>
    <col min="3306" max="3306" width="12.140625" style="64" customWidth="1"/>
    <col min="3307" max="3307" width="0" style="64" hidden="1" customWidth="1"/>
    <col min="3308" max="3308" width="11.28515625" style="64" customWidth="1"/>
    <col min="3309" max="3309" width="11.140625" style="64" customWidth="1"/>
    <col min="3310" max="3311" width="0" style="64" hidden="1" customWidth="1"/>
    <col min="3312" max="3312" width="8.85546875" style="64" bestFit="1" customWidth="1"/>
    <col min="3313" max="3550" width="11.42578125" style="64"/>
    <col min="3551" max="3551" width="5.28515625" style="64" customWidth="1"/>
    <col min="3552" max="3552" width="25.42578125" style="64" customWidth="1"/>
    <col min="3553" max="3553" width="13" style="64" customWidth="1"/>
    <col min="3554" max="3554" width="9.5703125" style="64" customWidth="1"/>
    <col min="3555" max="3555" width="12" style="64" customWidth="1"/>
    <col min="3556" max="3556" width="12.28515625" style="64" customWidth="1"/>
    <col min="3557" max="3557" width="11.28515625" style="64" customWidth="1"/>
    <col min="3558" max="3558" width="10.85546875" style="64" customWidth="1"/>
    <col min="3559" max="3559" width="11.5703125" style="64" customWidth="1"/>
    <col min="3560" max="3560" width="12.5703125" style="64" customWidth="1"/>
    <col min="3561" max="3561" width="12.28515625" style="64" customWidth="1"/>
    <col min="3562" max="3562" width="12.140625" style="64" customWidth="1"/>
    <col min="3563" max="3563" width="0" style="64" hidden="1" customWidth="1"/>
    <col min="3564" max="3564" width="11.28515625" style="64" customWidth="1"/>
    <col min="3565" max="3565" width="11.140625" style="64" customWidth="1"/>
    <col min="3566" max="3567" width="0" style="64" hidden="1" customWidth="1"/>
    <col min="3568" max="3568" width="8.85546875" style="64" bestFit="1" customWidth="1"/>
    <col min="3569" max="3806" width="11.42578125" style="64"/>
    <col min="3807" max="3807" width="5.28515625" style="64" customWidth="1"/>
    <col min="3808" max="3808" width="25.42578125" style="64" customWidth="1"/>
    <col min="3809" max="3809" width="13" style="64" customWidth="1"/>
    <col min="3810" max="3810" width="9.5703125" style="64" customWidth="1"/>
    <col min="3811" max="3811" width="12" style="64" customWidth="1"/>
    <col min="3812" max="3812" width="12.28515625" style="64" customWidth="1"/>
    <col min="3813" max="3813" width="11.28515625" style="64" customWidth="1"/>
    <col min="3814" max="3814" width="10.85546875" style="64" customWidth="1"/>
    <col min="3815" max="3815" width="11.5703125" style="64" customWidth="1"/>
    <col min="3816" max="3816" width="12.5703125" style="64" customWidth="1"/>
    <col min="3817" max="3817" width="12.28515625" style="64" customWidth="1"/>
    <col min="3818" max="3818" width="12.140625" style="64" customWidth="1"/>
    <col min="3819" max="3819" width="0" style="64" hidden="1" customWidth="1"/>
    <col min="3820" max="3820" width="11.28515625" style="64" customWidth="1"/>
    <col min="3821" max="3821" width="11.140625" style="64" customWidth="1"/>
    <col min="3822" max="3823" width="0" style="64" hidden="1" customWidth="1"/>
    <col min="3824" max="3824" width="8.85546875" style="64" bestFit="1" customWidth="1"/>
    <col min="3825" max="4062" width="11.42578125" style="64"/>
    <col min="4063" max="4063" width="5.28515625" style="64" customWidth="1"/>
    <col min="4064" max="4064" width="25.42578125" style="64" customWidth="1"/>
    <col min="4065" max="4065" width="13" style="64" customWidth="1"/>
    <col min="4066" max="4066" width="9.5703125" style="64" customWidth="1"/>
    <col min="4067" max="4067" width="12" style="64" customWidth="1"/>
    <col min="4068" max="4068" width="12.28515625" style="64" customWidth="1"/>
    <col min="4069" max="4069" width="11.28515625" style="64" customWidth="1"/>
    <col min="4070" max="4070" width="10.85546875" style="64" customWidth="1"/>
    <col min="4071" max="4071" width="11.5703125" style="64" customWidth="1"/>
    <col min="4072" max="4072" width="12.5703125" style="64" customWidth="1"/>
    <col min="4073" max="4073" width="12.28515625" style="64" customWidth="1"/>
    <col min="4074" max="4074" width="12.140625" style="64" customWidth="1"/>
    <col min="4075" max="4075" width="0" style="64" hidden="1" customWidth="1"/>
    <col min="4076" max="4076" width="11.28515625" style="64" customWidth="1"/>
    <col min="4077" max="4077" width="11.140625" style="64" customWidth="1"/>
    <col min="4078" max="4079" width="0" style="64" hidden="1" customWidth="1"/>
    <col min="4080" max="4080" width="8.85546875" style="64" bestFit="1" customWidth="1"/>
    <col min="4081" max="4318" width="11.42578125" style="64"/>
    <col min="4319" max="4319" width="5.28515625" style="64" customWidth="1"/>
    <col min="4320" max="4320" width="25.42578125" style="64" customWidth="1"/>
    <col min="4321" max="4321" width="13" style="64" customWidth="1"/>
    <col min="4322" max="4322" width="9.5703125" style="64" customWidth="1"/>
    <col min="4323" max="4323" width="12" style="64" customWidth="1"/>
    <col min="4324" max="4324" width="12.28515625" style="64" customWidth="1"/>
    <col min="4325" max="4325" width="11.28515625" style="64" customWidth="1"/>
    <col min="4326" max="4326" width="10.85546875" style="64" customWidth="1"/>
    <col min="4327" max="4327" width="11.5703125" style="64" customWidth="1"/>
    <col min="4328" max="4328" width="12.5703125" style="64" customWidth="1"/>
    <col min="4329" max="4329" width="12.28515625" style="64" customWidth="1"/>
    <col min="4330" max="4330" width="12.140625" style="64" customWidth="1"/>
    <col min="4331" max="4331" width="0" style="64" hidden="1" customWidth="1"/>
    <col min="4332" max="4332" width="11.28515625" style="64" customWidth="1"/>
    <col min="4333" max="4333" width="11.140625" style="64" customWidth="1"/>
    <col min="4334" max="4335" width="0" style="64" hidden="1" customWidth="1"/>
    <col min="4336" max="4336" width="8.85546875" style="64" bestFit="1" customWidth="1"/>
    <col min="4337" max="4574" width="11.42578125" style="64"/>
    <col min="4575" max="4575" width="5.28515625" style="64" customWidth="1"/>
    <col min="4576" max="4576" width="25.42578125" style="64" customWidth="1"/>
    <col min="4577" max="4577" width="13" style="64" customWidth="1"/>
    <col min="4578" max="4578" width="9.5703125" style="64" customWidth="1"/>
    <col min="4579" max="4579" width="12" style="64" customWidth="1"/>
    <col min="4580" max="4580" width="12.28515625" style="64" customWidth="1"/>
    <col min="4581" max="4581" width="11.28515625" style="64" customWidth="1"/>
    <col min="4582" max="4582" width="10.85546875" style="64" customWidth="1"/>
    <col min="4583" max="4583" width="11.5703125" style="64" customWidth="1"/>
    <col min="4584" max="4584" width="12.5703125" style="64" customWidth="1"/>
    <col min="4585" max="4585" width="12.28515625" style="64" customWidth="1"/>
    <col min="4586" max="4586" width="12.140625" style="64" customWidth="1"/>
    <col min="4587" max="4587" width="0" style="64" hidden="1" customWidth="1"/>
    <col min="4588" max="4588" width="11.28515625" style="64" customWidth="1"/>
    <col min="4589" max="4589" width="11.140625" style="64" customWidth="1"/>
    <col min="4590" max="4591" width="0" style="64" hidden="1" customWidth="1"/>
    <col min="4592" max="4592" width="8.85546875" style="64" bestFit="1" customWidth="1"/>
    <col min="4593" max="4830" width="11.42578125" style="64"/>
    <col min="4831" max="4831" width="5.28515625" style="64" customWidth="1"/>
    <col min="4832" max="4832" width="25.42578125" style="64" customWidth="1"/>
    <col min="4833" max="4833" width="13" style="64" customWidth="1"/>
    <col min="4834" max="4834" width="9.5703125" style="64" customWidth="1"/>
    <col min="4835" max="4835" width="12" style="64" customWidth="1"/>
    <col min="4836" max="4836" width="12.28515625" style="64" customWidth="1"/>
    <col min="4837" max="4837" width="11.28515625" style="64" customWidth="1"/>
    <col min="4838" max="4838" width="10.85546875" style="64" customWidth="1"/>
    <col min="4839" max="4839" width="11.5703125" style="64" customWidth="1"/>
    <col min="4840" max="4840" width="12.5703125" style="64" customWidth="1"/>
    <col min="4841" max="4841" width="12.28515625" style="64" customWidth="1"/>
    <col min="4842" max="4842" width="12.140625" style="64" customWidth="1"/>
    <col min="4843" max="4843" width="0" style="64" hidden="1" customWidth="1"/>
    <col min="4844" max="4844" width="11.28515625" style="64" customWidth="1"/>
    <col min="4845" max="4845" width="11.140625" style="64" customWidth="1"/>
    <col min="4846" max="4847" width="0" style="64" hidden="1" customWidth="1"/>
    <col min="4848" max="4848" width="8.85546875" style="64" bestFit="1" customWidth="1"/>
    <col min="4849" max="5086" width="11.42578125" style="64"/>
    <col min="5087" max="5087" width="5.28515625" style="64" customWidth="1"/>
    <col min="5088" max="5088" width="25.42578125" style="64" customWidth="1"/>
    <col min="5089" max="5089" width="13" style="64" customWidth="1"/>
    <col min="5090" max="5090" width="9.5703125" style="64" customWidth="1"/>
    <col min="5091" max="5091" width="12" style="64" customWidth="1"/>
    <col min="5092" max="5092" width="12.28515625" style="64" customWidth="1"/>
    <col min="5093" max="5093" width="11.28515625" style="64" customWidth="1"/>
    <col min="5094" max="5094" width="10.85546875" style="64" customWidth="1"/>
    <col min="5095" max="5095" width="11.5703125" style="64" customWidth="1"/>
    <col min="5096" max="5096" width="12.5703125" style="64" customWidth="1"/>
    <col min="5097" max="5097" width="12.28515625" style="64" customWidth="1"/>
    <col min="5098" max="5098" width="12.140625" style="64" customWidth="1"/>
    <col min="5099" max="5099" width="0" style="64" hidden="1" customWidth="1"/>
    <col min="5100" max="5100" width="11.28515625" style="64" customWidth="1"/>
    <col min="5101" max="5101" width="11.140625" style="64" customWidth="1"/>
    <col min="5102" max="5103" width="0" style="64" hidden="1" customWidth="1"/>
    <col min="5104" max="5104" width="8.85546875" style="64" bestFit="1" customWidth="1"/>
    <col min="5105" max="5342" width="11.42578125" style="64"/>
    <col min="5343" max="5343" width="5.28515625" style="64" customWidth="1"/>
    <col min="5344" max="5344" width="25.42578125" style="64" customWidth="1"/>
    <col min="5345" max="5345" width="13" style="64" customWidth="1"/>
    <col min="5346" max="5346" width="9.5703125" style="64" customWidth="1"/>
    <col min="5347" max="5347" width="12" style="64" customWidth="1"/>
    <col min="5348" max="5348" width="12.28515625" style="64" customWidth="1"/>
    <col min="5349" max="5349" width="11.28515625" style="64" customWidth="1"/>
    <col min="5350" max="5350" width="10.85546875" style="64" customWidth="1"/>
    <col min="5351" max="5351" width="11.5703125" style="64" customWidth="1"/>
    <col min="5352" max="5352" width="12.5703125" style="64" customWidth="1"/>
    <col min="5353" max="5353" width="12.28515625" style="64" customWidth="1"/>
    <col min="5354" max="5354" width="12.140625" style="64" customWidth="1"/>
    <col min="5355" max="5355" width="0" style="64" hidden="1" customWidth="1"/>
    <col min="5356" max="5356" width="11.28515625" style="64" customWidth="1"/>
    <col min="5357" max="5357" width="11.140625" style="64" customWidth="1"/>
    <col min="5358" max="5359" width="0" style="64" hidden="1" customWidth="1"/>
    <col min="5360" max="5360" width="8.85546875" style="64" bestFit="1" customWidth="1"/>
    <col min="5361" max="5598" width="11.42578125" style="64"/>
    <col min="5599" max="5599" width="5.28515625" style="64" customWidth="1"/>
    <col min="5600" max="5600" width="25.42578125" style="64" customWidth="1"/>
    <col min="5601" max="5601" width="13" style="64" customWidth="1"/>
    <col min="5602" max="5602" width="9.5703125" style="64" customWidth="1"/>
    <col min="5603" max="5603" width="12" style="64" customWidth="1"/>
    <col min="5604" max="5604" width="12.28515625" style="64" customWidth="1"/>
    <col min="5605" max="5605" width="11.28515625" style="64" customWidth="1"/>
    <col min="5606" max="5606" width="10.85546875" style="64" customWidth="1"/>
    <col min="5607" max="5607" width="11.5703125" style="64" customWidth="1"/>
    <col min="5608" max="5608" width="12.5703125" style="64" customWidth="1"/>
    <col min="5609" max="5609" width="12.28515625" style="64" customWidth="1"/>
    <col min="5610" max="5610" width="12.140625" style="64" customWidth="1"/>
    <col min="5611" max="5611" width="0" style="64" hidden="1" customWidth="1"/>
    <col min="5612" max="5612" width="11.28515625" style="64" customWidth="1"/>
    <col min="5613" max="5613" width="11.140625" style="64" customWidth="1"/>
    <col min="5614" max="5615" width="0" style="64" hidden="1" customWidth="1"/>
    <col min="5616" max="5616" width="8.85546875" style="64" bestFit="1" customWidth="1"/>
    <col min="5617" max="5854" width="11.42578125" style="64"/>
    <col min="5855" max="5855" width="5.28515625" style="64" customWidth="1"/>
    <col min="5856" max="5856" width="25.42578125" style="64" customWidth="1"/>
    <col min="5857" max="5857" width="13" style="64" customWidth="1"/>
    <col min="5858" max="5858" width="9.5703125" style="64" customWidth="1"/>
    <col min="5859" max="5859" width="12" style="64" customWidth="1"/>
    <col min="5860" max="5860" width="12.28515625" style="64" customWidth="1"/>
    <col min="5861" max="5861" width="11.28515625" style="64" customWidth="1"/>
    <col min="5862" max="5862" width="10.85546875" style="64" customWidth="1"/>
    <col min="5863" max="5863" width="11.5703125" style="64" customWidth="1"/>
    <col min="5864" max="5864" width="12.5703125" style="64" customWidth="1"/>
    <col min="5865" max="5865" width="12.28515625" style="64" customWidth="1"/>
    <col min="5866" max="5866" width="12.140625" style="64" customWidth="1"/>
    <col min="5867" max="5867" width="0" style="64" hidden="1" customWidth="1"/>
    <col min="5868" max="5868" width="11.28515625" style="64" customWidth="1"/>
    <col min="5869" max="5869" width="11.140625" style="64" customWidth="1"/>
    <col min="5870" max="5871" width="0" style="64" hidden="1" customWidth="1"/>
    <col min="5872" max="5872" width="8.85546875" style="64" bestFit="1" customWidth="1"/>
    <col min="5873" max="6110" width="11.42578125" style="64"/>
    <col min="6111" max="6111" width="5.28515625" style="64" customWidth="1"/>
    <col min="6112" max="6112" width="25.42578125" style="64" customWidth="1"/>
    <col min="6113" max="6113" width="13" style="64" customWidth="1"/>
    <col min="6114" max="6114" width="9.5703125" style="64" customWidth="1"/>
    <col min="6115" max="6115" width="12" style="64" customWidth="1"/>
    <col min="6116" max="6116" width="12.28515625" style="64" customWidth="1"/>
    <col min="6117" max="6117" width="11.28515625" style="64" customWidth="1"/>
    <col min="6118" max="6118" width="10.85546875" style="64" customWidth="1"/>
    <col min="6119" max="6119" width="11.5703125" style="64" customWidth="1"/>
    <col min="6120" max="6120" width="12.5703125" style="64" customWidth="1"/>
    <col min="6121" max="6121" width="12.28515625" style="64" customWidth="1"/>
    <col min="6122" max="6122" width="12.140625" style="64" customWidth="1"/>
    <col min="6123" max="6123" width="0" style="64" hidden="1" customWidth="1"/>
    <col min="6124" max="6124" width="11.28515625" style="64" customWidth="1"/>
    <col min="6125" max="6125" width="11.140625" style="64" customWidth="1"/>
    <col min="6126" max="6127" width="0" style="64" hidden="1" customWidth="1"/>
    <col min="6128" max="6128" width="8.85546875" style="64" bestFit="1" customWidth="1"/>
    <col min="6129" max="6366" width="11.42578125" style="64"/>
    <col min="6367" max="6367" width="5.28515625" style="64" customWidth="1"/>
    <col min="6368" max="6368" width="25.42578125" style="64" customWidth="1"/>
    <col min="6369" max="6369" width="13" style="64" customWidth="1"/>
    <col min="6370" max="6370" width="9.5703125" style="64" customWidth="1"/>
    <col min="6371" max="6371" width="12" style="64" customWidth="1"/>
    <col min="6372" max="6372" width="12.28515625" style="64" customWidth="1"/>
    <col min="6373" max="6373" width="11.28515625" style="64" customWidth="1"/>
    <col min="6374" max="6374" width="10.85546875" style="64" customWidth="1"/>
    <col min="6375" max="6375" width="11.5703125" style="64" customWidth="1"/>
    <col min="6376" max="6376" width="12.5703125" style="64" customWidth="1"/>
    <col min="6377" max="6377" width="12.28515625" style="64" customWidth="1"/>
    <col min="6378" max="6378" width="12.140625" style="64" customWidth="1"/>
    <col min="6379" max="6379" width="0" style="64" hidden="1" customWidth="1"/>
    <col min="6380" max="6380" width="11.28515625" style="64" customWidth="1"/>
    <col min="6381" max="6381" width="11.140625" style="64" customWidth="1"/>
    <col min="6382" max="6383" width="0" style="64" hidden="1" customWidth="1"/>
    <col min="6384" max="6384" width="8.85546875" style="64" bestFit="1" customWidth="1"/>
    <col min="6385" max="6622" width="11.42578125" style="64"/>
    <col min="6623" max="6623" width="5.28515625" style="64" customWidth="1"/>
    <col min="6624" max="6624" width="25.42578125" style="64" customWidth="1"/>
    <col min="6625" max="6625" width="13" style="64" customWidth="1"/>
    <col min="6626" max="6626" width="9.5703125" style="64" customWidth="1"/>
    <col min="6627" max="6627" width="12" style="64" customWidth="1"/>
    <col min="6628" max="6628" width="12.28515625" style="64" customWidth="1"/>
    <col min="6629" max="6629" width="11.28515625" style="64" customWidth="1"/>
    <col min="6630" max="6630" width="10.85546875" style="64" customWidth="1"/>
    <col min="6631" max="6631" width="11.5703125" style="64" customWidth="1"/>
    <col min="6632" max="6632" width="12.5703125" style="64" customWidth="1"/>
    <col min="6633" max="6633" width="12.28515625" style="64" customWidth="1"/>
    <col min="6634" max="6634" width="12.140625" style="64" customWidth="1"/>
    <col min="6635" max="6635" width="0" style="64" hidden="1" customWidth="1"/>
    <col min="6636" max="6636" width="11.28515625" style="64" customWidth="1"/>
    <col min="6637" max="6637" width="11.140625" style="64" customWidth="1"/>
    <col min="6638" max="6639" width="0" style="64" hidden="1" customWidth="1"/>
    <col min="6640" max="6640" width="8.85546875" style="64" bestFit="1" customWidth="1"/>
    <col min="6641" max="6878" width="11.42578125" style="64"/>
    <col min="6879" max="6879" width="5.28515625" style="64" customWidth="1"/>
    <col min="6880" max="6880" width="25.42578125" style="64" customWidth="1"/>
    <col min="6881" max="6881" width="13" style="64" customWidth="1"/>
    <col min="6882" max="6882" width="9.5703125" style="64" customWidth="1"/>
    <col min="6883" max="6883" width="12" style="64" customWidth="1"/>
    <col min="6884" max="6884" width="12.28515625" style="64" customWidth="1"/>
    <col min="6885" max="6885" width="11.28515625" style="64" customWidth="1"/>
    <col min="6886" max="6886" width="10.85546875" style="64" customWidth="1"/>
    <col min="6887" max="6887" width="11.5703125" style="64" customWidth="1"/>
    <col min="6888" max="6888" width="12.5703125" style="64" customWidth="1"/>
    <col min="6889" max="6889" width="12.28515625" style="64" customWidth="1"/>
    <col min="6890" max="6890" width="12.140625" style="64" customWidth="1"/>
    <col min="6891" max="6891" width="0" style="64" hidden="1" customWidth="1"/>
    <col min="6892" max="6892" width="11.28515625" style="64" customWidth="1"/>
    <col min="6893" max="6893" width="11.140625" style="64" customWidth="1"/>
    <col min="6894" max="6895" width="0" style="64" hidden="1" customWidth="1"/>
    <col min="6896" max="6896" width="8.85546875" style="64" bestFit="1" customWidth="1"/>
    <col min="6897" max="7134" width="11.42578125" style="64"/>
    <col min="7135" max="7135" width="5.28515625" style="64" customWidth="1"/>
    <col min="7136" max="7136" width="25.42578125" style="64" customWidth="1"/>
    <col min="7137" max="7137" width="13" style="64" customWidth="1"/>
    <col min="7138" max="7138" width="9.5703125" style="64" customWidth="1"/>
    <col min="7139" max="7139" width="12" style="64" customWidth="1"/>
    <col min="7140" max="7140" width="12.28515625" style="64" customWidth="1"/>
    <col min="7141" max="7141" width="11.28515625" style="64" customWidth="1"/>
    <col min="7142" max="7142" width="10.85546875" style="64" customWidth="1"/>
    <col min="7143" max="7143" width="11.5703125" style="64" customWidth="1"/>
    <col min="7144" max="7144" width="12.5703125" style="64" customWidth="1"/>
    <col min="7145" max="7145" width="12.28515625" style="64" customWidth="1"/>
    <col min="7146" max="7146" width="12.140625" style="64" customWidth="1"/>
    <col min="7147" max="7147" width="0" style="64" hidden="1" customWidth="1"/>
    <col min="7148" max="7148" width="11.28515625" style="64" customWidth="1"/>
    <col min="7149" max="7149" width="11.140625" style="64" customWidth="1"/>
    <col min="7150" max="7151" width="0" style="64" hidden="1" customWidth="1"/>
    <col min="7152" max="7152" width="8.85546875" style="64" bestFit="1" customWidth="1"/>
    <col min="7153" max="7390" width="11.42578125" style="64"/>
    <col min="7391" max="7391" width="5.28515625" style="64" customWidth="1"/>
    <col min="7392" max="7392" width="25.42578125" style="64" customWidth="1"/>
    <col min="7393" max="7393" width="13" style="64" customWidth="1"/>
    <col min="7394" max="7394" width="9.5703125" style="64" customWidth="1"/>
    <col min="7395" max="7395" width="12" style="64" customWidth="1"/>
    <col min="7396" max="7396" width="12.28515625" style="64" customWidth="1"/>
    <col min="7397" max="7397" width="11.28515625" style="64" customWidth="1"/>
    <col min="7398" max="7398" width="10.85546875" style="64" customWidth="1"/>
    <col min="7399" max="7399" width="11.5703125" style="64" customWidth="1"/>
    <col min="7400" max="7400" width="12.5703125" style="64" customWidth="1"/>
    <col min="7401" max="7401" width="12.28515625" style="64" customWidth="1"/>
    <col min="7402" max="7402" width="12.140625" style="64" customWidth="1"/>
    <col min="7403" max="7403" width="0" style="64" hidden="1" customWidth="1"/>
    <col min="7404" max="7404" width="11.28515625" style="64" customWidth="1"/>
    <col min="7405" max="7405" width="11.140625" style="64" customWidth="1"/>
    <col min="7406" max="7407" width="0" style="64" hidden="1" customWidth="1"/>
    <col min="7408" max="7408" width="8.85546875" style="64" bestFit="1" customWidth="1"/>
    <col min="7409" max="7646" width="11.42578125" style="64"/>
    <col min="7647" max="7647" width="5.28515625" style="64" customWidth="1"/>
    <col min="7648" max="7648" width="25.42578125" style="64" customWidth="1"/>
    <col min="7649" max="7649" width="13" style="64" customWidth="1"/>
    <col min="7650" max="7650" width="9.5703125" style="64" customWidth="1"/>
    <col min="7651" max="7651" width="12" style="64" customWidth="1"/>
    <col min="7652" max="7652" width="12.28515625" style="64" customWidth="1"/>
    <col min="7653" max="7653" width="11.28515625" style="64" customWidth="1"/>
    <col min="7654" max="7654" width="10.85546875" style="64" customWidth="1"/>
    <col min="7655" max="7655" width="11.5703125" style="64" customWidth="1"/>
    <col min="7656" max="7656" width="12.5703125" style="64" customWidth="1"/>
    <col min="7657" max="7657" width="12.28515625" style="64" customWidth="1"/>
    <col min="7658" max="7658" width="12.140625" style="64" customWidth="1"/>
    <col min="7659" max="7659" width="0" style="64" hidden="1" customWidth="1"/>
    <col min="7660" max="7660" width="11.28515625" style="64" customWidth="1"/>
    <col min="7661" max="7661" width="11.140625" style="64" customWidth="1"/>
    <col min="7662" max="7663" width="0" style="64" hidden="1" customWidth="1"/>
    <col min="7664" max="7664" width="8.85546875" style="64" bestFit="1" customWidth="1"/>
    <col min="7665" max="7902" width="11.42578125" style="64"/>
    <col min="7903" max="7903" width="5.28515625" style="64" customWidth="1"/>
    <col min="7904" max="7904" width="25.42578125" style="64" customWidth="1"/>
    <col min="7905" max="7905" width="13" style="64" customWidth="1"/>
    <col min="7906" max="7906" width="9.5703125" style="64" customWidth="1"/>
    <col min="7907" max="7907" width="12" style="64" customWidth="1"/>
    <col min="7908" max="7908" width="12.28515625" style="64" customWidth="1"/>
    <col min="7909" max="7909" width="11.28515625" style="64" customWidth="1"/>
    <col min="7910" max="7910" width="10.85546875" style="64" customWidth="1"/>
    <col min="7911" max="7911" width="11.5703125" style="64" customWidth="1"/>
    <col min="7912" max="7912" width="12.5703125" style="64" customWidth="1"/>
    <col min="7913" max="7913" width="12.28515625" style="64" customWidth="1"/>
    <col min="7914" max="7914" width="12.140625" style="64" customWidth="1"/>
    <col min="7915" max="7915" width="0" style="64" hidden="1" customWidth="1"/>
    <col min="7916" max="7916" width="11.28515625" style="64" customWidth="1"/>
    <col min="7917" max="7917" width="11.140625" style="64" customWidth="1"/>
    <col min="7918" max="7919" width="0" style="64" hidden="1" customWidth="1"/>
    <col min="7920" max="7920" width="8.85546875" style="64" bestFit="1" customWidth="1"/>
    <col min="7921" max="8158" width="11.42578125" style="64"/>
    <col min="8159" max="8159" width="5.28515625" style="64" customWidth="1"/>
    <col min="8160" max="8160" width="25.42578125" style="64" customWidth="1"/>
    <col min="8161" max="8161" width="13" style="64" customWidth="1"/>
    <col min="8162" max="8162" width="9.5703125" style="64" customWidth="1"/>
    <col min="8163" max="8163" width="12" style="64" customWidth="1"/>
    <col min="8164" max="8164" width="12.28515625" style="64" customWidth="1"/>
    <col min="8165" max="8165" width="11.28515625" style="64" customWidth="1"/>
    <col min="8166" max="8166" width="10.85546875" style="64" customWidth="1"/>
    <col min="8167" max="8167" width="11.5703125" style="64" customWidth="1"/>
    <col min="8168" max="8168" width="12.5703125" style="64" customWidth="1"/>
    <col min="8169" max="8169" width="12.28515625" style="64" customWidth="1"/>
    <col min="8170" max="8170" width="12.140625" style="64" customWidth="1"/>
    <col min="8171" max="8171" width="0" style="64" hidden="1" customWidth="1"/>
    <col min="8172" max="8172" width="11.28515625" style="64" customWidth="1"/>
    <col min="8173" max="8173" width="11.140625" style="64" customWidth="1"/>
    <col min="8174" max="8175" width="0" style="64" hidden="1" customWidth="1"/>
    <col min="8176" max="8176" width="8.85546875" style="64" bestFit="1" customWidth="1"/>
    <col min="8177" max="8414" width="11.42578125" style="64"/>
    <col min="8415" max="8415" width="5.28515625" style="64" customWidth="1"/>
    <col min="8416" max="8416" width="25.42578125" style="64" customWidth="1"/>
    <col min="8417" max="8417" width="13" style="64" customWidth="1"/>
    <col min="8418" max="8418" width="9.5703125" style="64" customWidth="1"/>
    <col min="8419" max="8419" width="12" style="64" customWidth="1"/>
    <col min="8420" max="8420" width="12.28515625" style="64" customWidth="1"/>
    <col min="8421" max="8421" width="11.28515625" style="64" customWidth="1"/>
    <col min="8422" max="8422" width="10.85546875" style="64" customWidth="1"/>
    <col min="8423" max="8423" width="11.5703125" style="64" customWidth="1"/>
    <col min="8424" max="8424" width="12.5703125" style="64" customWidth="1"/>
    <col min="8425" max="8425" width="12.28515625" style="64" customWidth="1"/>
    <col min="8426" max="8426" width="12.140625" style="64" customWidth="1"/>
    <col min="8427" max="8427" width="0" style="64" hidden="1" customWidth="1"/>
    <col min="8428" max="8428" width="11.28515625" style="64" customWidth="1"/>
    <col min="8429" max="8429" width="11.140625" style="64" customWidth="1"/>
    <col min="8430" max="8431" width="0" style="64" hidden="1" customWidth="1"/>
    <col min="8432" max="8432" width="8.85546875" style="64" bestFit="1" customWidth="1"/>
    <col min="8433" max="8670" width="11.42578125" style="64"/>
    <col min="8671" max="8671" width="5.28515625" style="64" customWidth="1"/>
    <col min="8672" max="8672" width="25.42578125" style="64" customWidth="1"/>
    <col min="8673" max="8673" width="13" style="64" customWidth="1"/>
    <col min="8674" max="8674" width="9.5703125" style="64" customWidth="1"/>
    <col min="8675" max="8675" width="12" style="64" customWidth="1"/>
    <col min="8676" max="8676" width="12.28515625" style="64" customWidth="1"/>
    <col min="8677" max="8677" width="11.28515625" style="64" customWidth="1"/>
    <col min="8678" max="8678" width="10.85546875" style="64" customWidth="1"/>
    <col min="8679" max="8679" width="11.5703125" style="64" customWidth="1"/>
    <col min="8680" max="8680" width="12.5703125" style="64" customWidth="1"/>
    <col min="8681" max="8681" width="12.28515625" style="64" customWidth="1"/>
    <col min="8682" max="8682" width="12.140625" style="64" customWidth="1"/>
    <col min="8683" max="8683" width="0" style="64" hidden="1" customWidth="1"/>
    <col min="8684" max="8684" width="11.28515625" style="64" customWidth="1"/>
    <col min="8685" max="8685" width="11.140625" style="64" customWidth="1"/>
    <col min="8686" max="8687" width="0" style="64" hidden="1" customWidth="1"/>
    <col min="8688" max="8688" width="8.85546875" style="64" bestFit="1" customWidth="1"/>
    <col min="8689" max="8926" width="11.42578125" style="64"/>
    <col min="8927" max="8927" width="5.28515625" style="64" customWidth="1"/>
    <col min="8928" max="8928" width="25.42578125" style="64" customWidth="1"/>
    <col min="8929" max="8929" width="13" style="64" customWidth="1"/>
    <col min="8930" max="8930" width="9.5703125" style="64" customWidth="1"/>
    <col min="8931" max="8931" width="12" style="64" customWidth="1"/>
    <col min="8932" max="8932" width="12.28515625" style="64" customWidth="1"/>
    <col min="8933" max="8933" width="11.28515625" style="64" customWidth="1"/>
    <col min="8934" max="8934" width="10.85546875" style="64" customWidth="1"/>
    <col min="8935" max="8935" width="11.5703125" style="64" customWidth="1"/>
    <col min="8936" max="8936" width="12.5703125" style="64" customWidth="1"/>
    <col min="8937" max="8937" width="12.28515625" style="64" customWidth="1"/>
    <col min="8938" max="8938" width="12.140625" style="64" customWidth="1"/>
    <col min="8939" max="8939" width="0" style="64" hidden="1" customWidth="1"/>
    <col min="8940" max="8940" width="11.28515625" style="64" customWidth="1"/>
    <col min="8941" max="8941" width="11.140625" style="64" customWidth="1"/>
    <col min="8942" max="8943" width="0" style="64" hidden="1" customWidth="1"/>
    <col min="8944" max="8944" width="8.85546875" style="64" bestFit="1" customWidth="1"/>
    <col min="8945" max="9182" width="11.42578125" style="64"/>
    <col min="9183" max="9183" width="5.28515625" style="64" customWidth="1"/>
    <col min="9184" max="9184" width="25.42578125" style="64" customWidth="1"/>
    <col min="9185" max="9185" width="13" style="64" customWidth="1"/>
    <col min="9186" max="9186" width="9.5703125" style="64" customWidth="1"/>
    <col min="9187" max="9187" width="12" style="64" customWidth="1"/>
    <col min="9188" max="9188" width="12.28515625" style="64" customWidth="1"/>
    <col min="9189" max="9189" width="11.28515625" style="64" customWidth="1"/>
    <col min="9190" max="9190" width="10.85546875" style="64" customWidth="1"/>
    <col min="9191" max="9191" width="11.5703125" style="64" customWidth="1"/>
    <col min="9192" max="9192" width="12.5703125" style="64" customWidth="1"/>
    <col min="9193" max="9193" width="12.28515625" style="64" customWidth="1"/>
    <col min="9194" max="9194" width="12.140625" style="64" customWidth="1"/>
    <col min="9195" max="9195" width="0" style="64" hidden="1" customWidth="1"/>
    <col min="9196" max="9196" width="11.28515625" style="64" customWidth="1"/>
    <col min="9197" max="9197" width="11.140625" style="64" customWidth="1"/>
    <col min="9198" max="9199" width="0" style="64" hidden="1" customWidth="1"/>
    <col min="9200" max="9200" width="8.85546875" style="64" bestFit="1" customWidth="1"/>
    <col min="9201" max="9438" width="11.42578125" style="64"/>
    <col min="9439" max="9439" width="5.28515625" style="64" customWidth="1"/>
    <col min="9440" max="9440" width="25.42578125" style="64" customWidth="1"/>
    <col min="9441" max="9441" width="13" style="64" customWidth="1"/>
    <col min="9442" max="9442" width="9.5703125" style="64" customWidth="1"/>
    <col min="9443" max="9443" width="12" style="64" customWidth="1"/>
    <col min="9444" max="9444" width="12.28515625" style="64" customWidth="1"/>
    <col min="9445" max="9445" width="11.28515625" style="64" customWidth="1"/>
    <col min="9446" max="9446" width="10.85546875" style="64" customWidth="1"/>
    <col min="9447" max="9447" width="11.5703125" style="64" customWidth="1"/>
    <col min="9448" max="9448" width="12.5703125" style="64" customWidth="1"/>
    <col min="9449" max="9449" width="12.28515625" style="64" customWidth="1"/>
    <col min="9450" max="9450" width="12.140625" style="64" customWidth="1"/>
    <col min="9451" max="9451" width="0" style="64" hidden="1" customWidth="1"/>
    <col min="9452" max="9452" width="11.28515625" style="64" customWidth="1"/>
    <col min="9453" max="9453" width="11.140625" style="64" customWidth="1"/>
    <col min="9454" max="9455" width="0" style="64" hidden="1" customWidth="1"/>
    <col min="9456" max="9456" width="8.85546875" style="64" bestFit="1" customWidth="1"/>
    <col min="9457" max="9694" width="11.42578125" style="64"/>
    <col min="9695" max="9695" width="5.28515625" style="64" customWidth="1"/>
    <col min="9696" max="9696" width="25.42578125" style="64" customWidth="1"/>
    <col min="9697" max="9697" width="13" style="64" customWidth="1"/>
    <col min="9698" max="9698" width="9.5703125" style="64" customWidth="1"/>
    <col min="9699" max="9699" width="12" style="64" customWidth="1"/>
    <col min="9700" max="9700" width="12.28515625" style="64" customWidth="1"/>
    <col min="9701" max="9701" width="11.28515625" style="64" customWidth="1"/>
    <col min="9702" max="9702" width="10.85546875" style="64" customWidth="1"/>
    <col min="9703" max="9703" width="11.5703125" style="64" customWidth="1"/>
    <col min="9704" max="9704" width="12.5703125" style="64" customWidth="1"/>
    <col min="9705" max="9705" width="12.28515625" style="64" customWidth="1"/>
    <col min="9706" max="9706" width="12.140625" style="64" customWidth="1"/>
    <col min="9707" max="9707" width="0" style="64" hidden="1" customWidth="1"/>
    <col min="9708" max="9708" width="11.28515625" style="64" customWidth="1"/>
    <col min="9709" max="9709" width="11.140625" style="64" customWidth="1"/>
    <col min="9710" max="9711" width="0" style="64" hidden="1" customWidth="1"/>
    <col min="9712" max="9712" width="8.85546875" style="64" bestFit="1" customWidth="1"/>
    <col min="9713" max="9950" width="11.42578125" style="64"/>
    <col min="9951" max="9951" width="5.28515625" style="64" customWidth="1"/>
    <col min="9952" max="9952" width="25.42578125" style="64" customWidth="1"/>
    <col min="9953" max="9953" width="13" style="64" customWidth="1"/>
    <col min="9954" max="9954" width="9.5703125" style="64" customWidth="1"/>
    <col min="9955" max="9955" width="12" style="64" customWidth="1"/>
    <col min="9956" max="9956" width="12.28515625" style="64" customWidth="1"/>
    <col min="9957" max="9957" width="11.28515625" style="64" customWidth="1"/>
    <col min="9958" max="9958" width="10.85546875" style="64" customWidth="1"/>
    <col min="9959" max="9959" width="11.5703125" style="64" customWidth="1"/>
    <col min="9960" max="9960" width="12.5703125" style="64" customWidth="1"/>
    <col min="9961" max="9961" width="12.28515625" style="64" customWidth="1"/>
    <col min="9962" max="9962" width="12.140625" style="64" customWidth="1"/>
    <col min="9963" max="9963" width="0" style="64" hidden="1" customWidth="1"/>
    <col min="9964" max="9964" width="11.28515625" style="64" customWidth="1"/>
    <col min="9965" max="9965" width="11.140625" style="64" customWidth="1"/>
    <col min="9966" max="9967" width="0" style="64" hidden="1" customWidth="1"/>
    <col min="9968" max="9968" width="8.85546875" style="64" bestFit="1" customWidth="1"/>
    <col min="9969" max="10206" width="11.42578125" style="64"/>
    <col min="10207" max="10207" width="5.28515625" style="64" customWidth="1"/>
    <col min="10208" max="10208" width="25.42578125" style="64" customWidth="1"/>
    <col min="10209" max="10209" width="13" style="64" customWidth="1"/>
    <col min="10210" max="10210" width="9.5703125" style="64" customWidth="1"/>
    <col min="10211" max="10211" width="12" style="64" customWidth="1"/>
    <col min="10212" max="10212" width="12.28515625" style="64" customWidth="1"/>
    <col min="10213" max="10213" width="11.28515625" style="64" customWidth="1"/>
    <col min="10214" max="10214" width="10.85546875" style="64" customWidth="1"/>
    <col min="10215" max="10215" width="11.5703125" style="64" customWidth="1"/>
    <col min="10216" max="10216" width="12.5703125" style="64" customWidth="1"/>
    <col min="10217" max="10217" width="12.28515625" style="64" customWidth="1"/>
    <col min="10218" max="10218" width="12.140625" style="64" customWidth="1"/>
    <col min="10219" max="10219" width="0" style="64" hidden="1" customWidth="1"/>
    <col min="10220" max="10220" width="11.28515625" style="64" customWidth="1"/>
    <col min="10221" max="10221" width="11.140625" style="64" customWidth="1"/>
    <col min="10222" max="10223" width="0" style="64" hidden="1" customWidth="1"/>
    <col min="10224" max="10224" width="8.85546875" style="64" bestFit="1" customWidth="1"/>
    <col min="10225" max="10462" width="11.42578125" style="64"/>
    <col min="10463" max="10463" width="5.28515625" style="64" customWidth="1"/>
    <col min="10464" max="10464" width="25.42578125" style="64" customWidth="1"/>
    <col min="10465" max="10465" width="13" style="64" customWidth="1"/>
    <col min="10466" max="10466" width="9.5703125" style="64" customWidth="1"/>
    <col min="10467" max="10467" width="12" style="64" customWidth="1"/>
    <col min="10468" max="10468" width="12.28515625" style="64" customWidth="1"/>
    <col min="10469" max="10469" width="11.28515625" style="64" customWidth="1"/>
    <col min="10470" max="10470" width="10.85546875" style="64" customWidth="1"/>
    <col min="10471" max="10471" width="11.5703125" style="64" customWidth="1"/>
    <col min="10472" max="10472" width="12.5703125" style="64" customWidth="1"/>
    <col min="10473" max="10473" width="12.28515625" style="64" customWidth="1"/>
    <col min="10474" max="10474" width="12.140625" style="64" customWidth="1"/>
    <col min="10475" max="10475" width="0" style="64" hidden="1" customWidth="1"/>
    <col min="10476" max="10476" width="11.28515625" style="64" customWidth="1"/>
    <col min="10477" max="10477" width="11.140625" style="64" customWidth="1"/>
    <col min="10478" max="10479" width="0" style="64" hidden="1" customWidth="1"/>
    <col min="10480" max="10480" width="8.85546875" style="64" bestFit="1" customWidth="1"/>
    <col min="10481" max="10718" width="11.42578125" style="64"/>
    <col min="10719" max="10719" width="5.28515625" style="64" customWidth="1"/>
    <col min="10720" max="10720" width="25.42578125" style="64" customWidth="1"/>
    <col min="10721" max="10721" width="13" style="64" customWidth="1"/>
    <col min="10722" max="10722" width="9.5703125" style="64" customWidth="1"/>
    <col min="10723" max="10723" width="12" style="64" customWidth="1"/>
    <col min="10724" max="10724" width="12.28515625" style="64" customWidth="1"/>
    <col min="10725" max="10725" width="11.28515625" style="64" customWidth="1"/>
    <col min="10726" max="10726" width="10.85546875" style="64" customWidth="1"/>
    <col min="10727" max="10727" width="11.5703125" style="64" customWidth="1"/>
    <col min="10728" max="10728" width="12.5703125" style="64" customWidth="1"/>
    <col min="10729" max="10729" width="12.28515625" style="64" customWidth="1"/>
    <col min="10730" max="10730" width="12.140625" style="64" customWidth="1"/>
    <col min="10731" max="10731" width="0" style="64" hidden="1" customWidth="1"/>
    <col min="10732" max="10732" width="11.28515625" style="64" customWidth="1"/>
    <col min="10733" max="10733" width="11.140625" style="64" customWidth="1"/>
    <col min="10734" max="10735" width="0" style="64" hidden="1" customWidth="1"/>
    <col min="10736" max="10736" width="8.85546875" style="64" bestFit="1" customWidth="1"/>
    <col min="10737" max="10974" width="11.42578125" style="64"/>
    <col min="10975" max="10975" width="5.28515625" style="64" customWidth="1"/>
    <col min="10976" max="10976" width="25.42578125" style="64" customWidth="1"/>
    <col min="10977" max="10977" width="13" style="64" customWidth="1"/>
    <col min="10978" max="10978" width="9.5703125" style="64" customWidth="1"/>
    <col min="10979" max="10979" width="12" style="64" customWidth="1"/>
    <col min="10980" max="10980" width="12.28515625" style="64" customWidth="1"/>
    <col min="10981" max="10981" width="11.28515625" style="64" customWidth="1"/>
    <col min="10982" max="10982" width="10.85546875" style="64" customWidth="1"/>
    <col min="10983" max="10983" width="11.5703125" style="64" customWidth="1"/>
    <col min="10984" max="10984" width="12.5703125" style="64" customWidth="1"/>
    <col min="10985" max="10985" width="12.28515625" style="64" customWidth="1"/>
    <col min="10986" max="10986" width="12.140625" style="64" customWidth="1"/>
    <col min="10987" max="10987" width="0" style="64" hidden="1" customWidth="1"/>
    <col min="10988" max="10988" width="11.28515625" style="64" customWidth="1"/>
    <col min="10989" max="10989" width="11.140625" style="64" customWidth="1"/>
    <col min="10990" max="10991" width="0" style="64" hidden="1" customWidth="1"/>
    <col min="10992" max="10992" width="8.85546875" style="64" bestFit="1" customWidth="1"/>
    <col min="10993" max="11230" width="11.42578125" style="64"/>
    <col min="11231" max="11231" width="5.28515625" style="64" customWidth="1"/>
    <col min="11232" max="11232" width="25.42578125" style="64" customWidth="1"/>
    <col min="11233" max="11233" width="13" style="64" customWidth="1"/>
    <col min="11234" max="11234" width="9.5703125" style="64" customWidth="1"/>
    <col min="11235" max="11235" width="12" style="64" customWidth="1"/>
    <col min="11236" max="11236" width="12.28515625" style="64" customWidth="1"/>
    <col min="11237" max="11237" width="11.28515625" style="64" customWidth="1"/>
    <col min="11238" max="11238" width="10.85546875" style="64" customWidth="1"/>
    <col min="11239" max="11239" width="11.5703125" style="64" customWidth="1"/>
    <col min="11240" max="11240" width="12.5703125" style="64" customWidth="1"/>
    <col min="11241" max="11241" width="12.28515625" style="64" customWidth="1"/>
    <col min="11242" max="11242" width="12.140625" style="64" customWidth="1"/>
    <col min="11243" max="11243" width="0" style="64" hidden="1" customWidth="1"/>
    <col min="11244" max="11244" width="11.28515625" style="64" customWidth="1"/>
    <col min="11245" max="11245" width="11.140625" style="64" customWidth="1"/>
    <col min="11246" max="11247" width="0" style="64" hidden="1" customWidth="1"/>
    <col min="11248" max="11248" width="8.85546875" style="64" bestFit="1" customWidth="1"/>
    <col min="11249" max="11486" width="11.42578125" style="64"/>
    <col min="11487" max="11487" width="5.28515625" style="64" customWidth="1"/>
    <col min="11488" max="11488" width="25.42578125" style="64" customWidth="1"/>
    <col min="11489" max="11489" width="13" style="64" customWidth="1"/>
    <col min="11490" max="11490" width="9.5703125" style="64" customWidth="1"/>
    <col min="11491" max="11491" width="12" style="64" customWidth="1"/>
    <col min="11492" max="11492" width="12.28515625" style="64" customWidth="1"/>
    <col min="11493" max="11493" width="11.28515625" style="64" customWidth="1"/>
    <col min="11494" max="11494" width="10.85546875" style="64" customWidth="1"/>
    <col min="11495" max="11495" width="11.5703125" style="64" customWidth="1"/>
    <col min="11496" max="11496" width="12.5703125" style="64" customWidth="1"/>
    <col min="11497" max="11497" width="12.28515625" style="64" customWidth="1"/>
    <col min="11498" max="11498" width="12.140625" style="64" customWidth="1"/>
    <col min="11499" max="11499" width="0" style="64" hidden="1" customWidth="1"/>
    <col min="11500" max="11500" width="11.28515625" style="64" customWidth="1"/>
    <col min="11501" max="11501" width="11.140625" style="64" customWidth="1"/>
    <col min="11502" max="11503" width="0" style="64" hidden="1" customWidth="1"/>
    <col min="11504" max="11504" width="8.85546875" style="64" bestFit="1" customWidth="1"/>
    <col min="11505" max="11742" width="11.42578125" style="64"/>
    <col min="11743" max="11743" width="5.28515625" style="64" customWidth="1"/>
    <col min="11744" max="11744" width="25.42578125" style="64" customWidth="1"/>
    <col min="11745" max="11745" width="13" style="64" customWidth="1"/>
    <col min="11746" max="11746" width="9.5703125" style="64" customWidth="1"/>
    <col min="11747" max="11747" width="12" style="64" customWidth="1"/>
    <col min="11748" max="11748" width="12.28515625" style="64" customWidth="1"/>
    <col min="11749" max="11749" width="11.28515625" style="64" customWidth="1"/>
    <col min="11750" max="11750" width="10.85546875" style="64" customWidth="1"/>
    <col min="11751" max="11751" width="11.5703125" style="64" customWidth="1"/>
    <col min="11752" max="11752" width="12.5703125" style="64" customWidth="1"/>
    <col min="11753" max="11753" width="12.28515625" style="64" customWidth="1"/>
    <col min="11754" max="11754" width="12.140625" style="64" customWidth="1"/>
    <col min="11755" max="11755" width="0" style="64" hidden="1" customWidth="1"/>
    <col min="11756" max="11756" width="11.28515625" style="64" customWidth="1"/>
    <col min="11757" max="11757" width="11.140625" style="64" customWidth="1"/>
    <col min="11758" max="11759" width="0" style="64" hidden="1" customWidth="1"/>
    <col min="11760" max="11760" width="8.85546875" style="64" bestFit="1" customWidth="1"/>
    <col min="11761" max="11998" width="11.42578125" style="64"/>
    <col min="11999" max="11999" width="5.28515625" style="64" customWidth="1"/>
    <col min="12000" max="12000" width="25.42578125" style="64" customWidth="1"/>
    <col min="12001" max="12001" width="13" style="64" customWidth="1"/>
    <col min="12002" max="12002" width="9.5703125" style="64" customWidth="1"/>
    <col min="12003" max="12003" width="12" style="64" customWidth="1"/>
    <col min="12004" max="12004" width="12.28515625" style="64" customWidth="1"/>
    <col min="12005" max="12005" width="11.28515625" style="64" customWidth="1"/>
    <col min="12006" max="12006" width="10.85546875" style="64" customWidth="1"/>
    <col min="12007" max="12007" width="11.5703125" style="64" customWidth="1"/>
    <col min="12008" max="12008" width="12.5703125" style="64" customWidth="1"/>
    <col min="12009" max="12009" width="12.28515625" style="64" customWidth="1"/>
    <col min="12010" max="12010" width="12.140625" style="64" customWidth="1"/>
    <col min="12011" max="12011" width="0" style="64" hidden="1" customWidth="1"/>
    <col min="12012" max="12012" width="11.28515625" style="64" customWidth="1"/>
    <col min="12013" max="12013" width="11.140625" style="64" customWidth="1"/>
    <col min="12014" max="12015" width="0" style="64" hidden="1" customWidth="1"/>
    <col min="12016" max="12016" width="8.85546875" style="64" bestFit="1" customWidth="1"/>
    <col min="12017" max="12254" width="11.42578125" style="64"/>
    <col min="12255" max="12255" width="5.28515625" style="64" customWidth="1"/>
    <col min="12256" max="12256" width="25.42578125" style="64" customWidth="1"/>
    <col min="12257" max="12257" width="13" style="64" customWidth="1"/>
    <col min="12258" max="12258" width="9.5703125" style="64" customWidth="1"/>
    <col min="12259" max="12259" width="12" style="64" customWidth="1"/>
    <col min="12260" max="12260" width="12.28515625" style="64" customWidth="1"/>
    <col min="12261" max="12261" width="11.28515625" style="64" customWidth="1"/>
    <col min="12262" max="12262" width="10.85546875" style="64" customWidth="1"/>
    <col min="12263" max="12263" width="11.5703125" style="64" customWidth="1"/>
    <col min="12264" max="12264" width="12.5703125" style="64" customWidth="1"/>
    <col min="12265" max="12265" width="12.28515625" style="64" customWidth="1"/>
    <col min="12266" max="12266" width="12.140625" style="64" customWidth="1"/>
    <col min="12267" max="12267" width="0" style="64" hidden="1" customWidth="1"/>
    <col min="12268" max="12268" width="11.28515625" style="64" customWidth="1"/>
    <col min="12269" max="12269" width="11.140625" style="64" customWidth="1"/>
    <col min="12270" max="12271" width="0" style="64" hidden="1" customWidth="1"/>
    <col min="12272" max="12272" width="8.85546875" style="64" bestFit="1" customWidth="1"/>
    <col min="12273" max="12510" width="11.42578125" style="64"/>
    <col min="12511" max="12511" width="5.28515625" style="64" customWidth="1"/>
    <col min="12512" max="12512" width="25.42578125" style="64" customWidth="1"/>
    <col min="12513" max="12513" width="13" style="64" customWidth="1"/>
    <col min="12514" max="12514" width="9.5703125" style="64" customWidth="1"/>
    <col min="12515" max="12515" width="12" style="64" customWidth="1"/>
    <col min="12516" max="12516" width="12.28515625" style="64" customWidth="1"/>
    <col min="12517" max="12517" width="11.28515625" style="64" customWidth="1"/>
    <col min="12518" max="12518" width="10.85546875" style="64" customWidth="1"/>
    <col min="12519" max="12519" width="11.5703125" style="64" customWidth="1"/>
    <col min="12520" max="12520" width="12.5703125" style="64" customWidth="1"/>
    <col min="12521" max="12521" width="12.28515625" style="64" customWidth="1"/>
    <col min="12522" max="12522" width="12.140625" style="64" customWidth="1"/>
    <col min="12523" max="12523" width="0" style="64" hidden="1" customWidth="1"/>
    <col min="12524" max="12524" width="11.28515625" style="64" customWidth="1"/>
    <col min="12525" max="12525" width="11.140625" style="64" customWidth="1"/>
    <col min="12526" max="12527" width="0" style="64" hidden="1" customWidth="1"/>
    <col min="12528" max="12528" width="8.85546875" style="64" bestFit="1" customWidth="1"/>
    <col min="12529" max="12766" width="11.42578125" style="64"/>
    <col min="12767" max="12767" width="5.28515625" style="64" customWidth="1"/>
    <col min="12768" max="12768" width="25.42578125" style="64" customWidth="1"/>
    <col min="12769" max="12769" width="13" style="64" customWidth="1"/>
    <col min="12770" max="12770" width="9.5703125" style="64" customWidth="1"/>
    <col min="12771" max="12771" width="12" style="64" customWidth="1"/>
    <col min="12772" max="12772" width="12.28515625" style="64" customWidth="1"/>
    <col min="12773" max="12773" width="11.28515625" style="64" customWidth="1"/>
    <col min="12774" max="12774" width="10.85546875" style="64" customWidth="1"/>
    <col min="12775" max="12775" width="11.5703125" style="64" customWidth="1"/>
    <col min="12776" max="12776" width="12.5703125" style="64" customWidth="1"/>
    <col min="12777" max="12777" width="12.28515625" style="64" customWidth="1"/>
    <col min="12778" max="12778" width="12.140625" style="64" customWidth="1"/>
    <col min="12779" max="12779" width="0" style="64" hidden="1" customWidth="1"/>
    <col min="12780" max="12780" width="11.28515625" style="64" customWidth="1"/>
    <col min="12781" max="12781" width="11.140625" style="64" customWidth="1"/>
    <col min="12782" max="12783" width="0" style="64" hidden="1" customWidth="1"/>
    <col min="12784" max="12784" width="8.85546875" style="64" bestFit="1" customWidth="1"/>
    <col min="12785" max="13022" width="11.42578125" style="64"/>
    <col min="13023" max="13023" width="5.28515625" style="64" customWidth="1"/>
    <col min="13024" max="13024" width="25.42578125" style="64" customWidth="1"/>
    <col min="13025" max="13025" width="13" style="64" customWidth="1"/>
    <col min="13026" max="13026" width="9.5703125" style="64" customWidth="1"/>
    <col min="13027" max="13027" width="12" style="64" customWidth="1"/>
    <col min="13028" max="13028" width="12.28515625" style="64" customWidth="1"/>
    <col min="13029" max="13029" width="11.28515625" style="64" customWidth="1"/>
    <col min="13030" max="13030" width="10.85546875" style="64" customWidth="1"/>
    <col min="13031" max="13031" width="11.5703125" style="64" customWidth="1"/>
    <col min="13032" max="13032" width="12.5703125" style="64" customWidth="1"/>
    <col min="13033" max="13033" width="12.28515625" style="64" customWidth="1"/>
    <col min="13034" max="13034" width="12.140625" style="64" customWidth="1"/>
    <col min="13035" max="13035" width="0" style="64" hidden="1" customWidth="1"/>
    <col min="13036" max="13036" width="11.28515625" style="64" customWidth="1"/>
    <col min="13037" max="13037" width="11.140625" style="64" customWidth="1"/>
    <col min="13038" max="13039" width="0" style="64" hidden="1" customWidth="1"/>
    <col min="13040" max="13040" width="8.85546875" style="64" bestFit="1" customWidth="1"/>
    <col min="13041" max="13278" width="11.42578125" style="64"/>
    <col min="13279" max="13279" width="5.28515625" style="64" customWidth="1"/>
    <col min="13280" max="13280" width="25.42578125" style="64" customWidth="1"/>
    <col min="13281" max="13281" width="13" style="64" customWidth="1"/>
    <col min="13282" max="13282" width="9.5703125" style="64" customWidth="1"/>
    <col min="13283" max="13283" width="12" style="64" customWidth="1"/>
    <col min="13284" max="13284" width="12.28515625" style="64" customWidth="1"/>
    <col min="13285" max="13285" width="11.28515625" style="64" customWidth="1"/>
    <col min="13286" max="13286" width="10.85546875" style="64" customWidth="1"/>
    <col min="13287" max="13287" width="11.5703125" style="64" customWidth="1"/>
    <col min="13288" max="13288" width="12.5703125" style="64" customWidth="1"/>
    <col min="13289" max="13289" width="12.28515625" style="64" customWidth="1"/>
    <col min="13290" max="13290" width="12.140625" style="64" customWidth="1"/>
    <col min="13291" max="13291" width="0" style="64" hidden="1" customWidth="1"/>
    <col min="13292" max="13292" width="11.28515625" style="64" customWidth="1"/>
    <col min="13293" max="13293" width="11.140625" style="64" customWidth="1"/>
    <col min="13294" max="13295" width="0" style="64" hidden="1" customWidth="1"/>
    <col min="13296" max="13296" width="8.85546875" style="64" bestFit="1" customWidth="1"/>
    <col min="13297" max="13534" width="11.42578125" style="64"/>
    <col min="13535" max="13535" width="5.28515625" style="64" customWidth="1"/>
    <col min="13536" max="13536" width="25.42578125" style="64" customWidth="1"/>
    <col min="13537" max="13537" width="13" style="64" customWidth="1"/>
    <col min="13538" max="13538" width="9.5703125" style="64" customWidth="1"/>
    <col min="13539" max="13539" width="12" style="64" customWidth="1"/>
    <col min="13540" max="13540" width="12.28515625" style="64" customWidth="1"/>
    <col min="13541" max="13541" width="11.28515625" style="64" customWidth="1"/>
    <col min="13542" max="13542" width="10.85546875" style="64" customWidth="1"/>
    <col min="13543" max="13543" width="11.5703125" style="64" customWidth="1"/>
    <col min="13544" max="13544" width="12.5703125" style="64" customWidth="1"/>
    <col min="13545" max="13545" width="12.28515625" style="64" customWidth="1"/>
    <col min="13546" max="13546" width="12.140625" style="64" customWidth="1"/>
    <col min="13547" max="13547" width="0" style="64" hidden="1" customWidth="1"/>
    <col min="13548" max="13548" width="11.28515625" style="64" customWidth="1"/>
    <col min="13549" max="13549" width="11.140625" style="64" customWidth="1"/>
    <col min="13550" max="13551" width="0" style="64" hidden="1" customWidth="1"/>
    <col min="13552" max="13552" width="8.85546875" style="64" bestFit="1" customWidth="1"/>
    <col min="13553" max="13790" width="11.42578125" style="64"/>
    <col min="13791" max="13791" width="5.28515625" style="64" customWidth="1"/>
    <col min="13792" max="13792" width="25.42578125" style="64" customWidth="1"/>
    <col min="13793" max="13793" width="13" style="64" customWidth="1"/>
    <col min="13794" max="13794" width="9.5703125" style="64" customWidth="1"/>
    <col min="13795" max="13795" width="12" style="64" customWidth="1"/>
    <col min="13796" max="13796" width="12.28515625" style="64" customWidth="1"/>
    <col min="13797" max="13797" width="11.28515625" style="64" customWidth="1"/>
    <col min="13798" max="13798" width="10.85546875" style="64" customWidth="1"/>
    <col min="13799" max="13799" width="11.5703125" style="64" customWidth="1"/>
    <col min="13800" max="13800" width="12.5703125" style="64" customWidth="1"/>
    <col min="13801" max="13801" width="12.28515625" style="64" customWidth="1"/>
    <col min="13802" max="13802" width="12.140625" style="64" customWidth="1"/>
    <col min="13803" max="13803" width="0" style="64" hidden="1" customWidth="1"/>
    <col min="13804" max="13804" width="11.28515625" style="64" customWidth="1"/>
    <col min="13805" max="13805" width="11.140625" style="64" customWidth="1"/>
    <col min="13806" max="13807" width="0" style="64" hidden="1" customWidth="1"/>
    <col min="13808" max="13808" width="8.85546875" style="64" bestFit="1" customWidth="1"/>
    <col min="13809" max="14046" width="11.42578125" style="64"/>
    <col min="14047" max="14047" width="5.28515625" style="64" customWidth="1"/>
    <col min="14048" max="14048" width="25.42578125" style="64" customWidth="1"/>
    <col min="14049" max="14049" width="13" style="64" customWidth="1"/>
    <col min="14050" max="14050" width="9.5703125" style="64" customWidth="1"/>
    <col min="14051" max="14051" width="12" style="64" customWidth="1"/>
    <col min="14052" max="14052" width="12.28515625" style="64" customWidth="1"/>
    <col min="14053" max="14053" width="11.28515625" style="64" customWidth="1"/>
    <col min="14054" max="14054" width="10.85546875" style="64" customWidth="1"/>
    <col min="14055" max="14055" width="11.5703125" style="64" customWidth="1"/>
    <col min="14056" max="14056" width="12.5703125" style="64" customWidth="1"/>
    <col min="14057" max="14057" width="12.28515625" style="64" customWidth="1"/>
    <col min="14058" max="14058" width="12.140625" style="64" customWidth="1"/>
    <col min="14059" max="14059" width="0" style="64" hidden="1" customWidth="1"/>
    <col min="14060" max="14060" width="11.28515625" style="64" customWidth="1"/>
    <col min="14061" max="14061" width="11.140625" style="64" customWidth="1"/>
    <col min="14062" max="14063" width="0" style="64" hidden="1" customWidth="1"/>
    <col min="14064" max="14064" width="8.85546875" style="64" bestFit="1" customWidth="1"/>
    <col min="14065" max="14302" width="11.42578125" style="64"/>
    <col min="14303" max="14303" width="5.28515625" style="64" customWidth="1"/>
    <col min="14304" max="14304" width="25.42578125" style="64" customWidth="1"/>
    <col min="14305" max="14305" width="13" style="64" customWidth="1"/>
    <col min="14306" max="14306" width="9.5703125" style="64" customWidth="1"/>
    <col min="14307" max="14307" width="12" style="64" customWidth="1"/>
    <col min="14308" max="14308" width="12.28515625" style="64" customWidth="1"/>
    <col min="14309" max="14309" width="11.28515625" style="64" customWidth="1"/>
    <col min="14310" max="14310" width="10.85546875" style="64" customWidth="1"/>
    <col min="14311" max="14311" width="11.5703125" style="64" customWidth="1"/>
    <col min="14312" max="14312" width="12.5703125" style="64" customWidth="1"/>
    <col min="14313" max="14313" width="12.28515625" style="64" customWidth="1"/>
    <col min="14314" max="14314" width="12.140625" style="64" customWidth="1"/>
    <col min="14315" max="14315" width="0" style="64" hidden="1" customWidth="1"/>
    <col min="14316" max="14316" width="11.28515625" style="64" customWidth="1"/>
    <col min="14317" max="14317" width="11.140625" style="64" customWidth="1"/>
    <col min="14318" max="14319" width="0" style="64" hidden="1" customWidth="1"/>
    <col min="14320" max="14320" width="8.85546875" style="64" bestFit="1" customWidth="1"/>
    <col min="14321" max="14558" width="11.42578125" style="64"/>
    <col min="14559" max="14559" width="5.28515625" style="64" customWidth="1"/>
    <col min="14560" max="14560" width="25.42578125" style="64" customWidth="1"/>
    <col min="14561" max="14561" width="13" style="64" customWidth="1"/>
    <col min="14562" max="14562" width="9.5703125" style="64" customWidth="1"/>
    <col min="14563" max="14563" width="12" style="64" customWidth="1"/>
    <col min="14564" max="14564" width="12.28515625" style="64" customWidth="1"/>
    <col min="14565" max="14565" width="11.28515625" style="64" customWidth="1"/>
    <col min="14566" max="14566" width="10.85546875" style="64" customWidth="1"/>
    <col min="14567" max="14567" width="11.5703125" style="64" customWidth="1"/>
    <col min="14568" max="14568" width="12.5703125" style="64" customWidth="1"/>
    <col min="14569" max="14569" width="12.28515625" style="64" customWidth="1"/>
    <col min="14570" max="14570" width="12.140625" style="64" customWidth="1"/>
    <col min="14571" max="14571" width="0" style="64" hidden="1" customWidth="1"/>
    <col min="14572" max="14572" width="11.28515625" style="64" customWidth="1"/>
    <col min="14573" max="14573" width="11.140625" style="64" customWidth="1"/>
    <col min="14574" max="14575" width="0" style="64" hidden="1" customWidth="1"/>
    <col min="14576" max="14576" width="8.85546875" style="64" bestFit="1" customWidth="1"/>
    <col min="14577" max="14814" width="11.42578125" style="64"/>
    <col min="14815" max="14815" width="5.28515625" style="64" customWidth="1"/>
    <col min="14816" max="14816" width="25.42578125" style="64" customWidth="1"/>
    <col min="14817" max="14817" width="13" style="64" customWidth="1"/>
    <col min="14818" max="14818" width="9.5703125" style="64" customWidth="1"/>
    <col min="14819" max="14819" width="12" style="64" customWidth="1"/>
    <col min="14820" max="14820" width="12.28515625" style="64" customWidth="1"/>
    <col min="14821" max="14821" width="11.28515625" style="64" customWidth="1"/>
    <col min="14822" max="14822" width="10.85546875" style="64" customWidth="1"/>
    <col min="14823" max="14823" width="11.5703125" style="64" customWidth="1"/>
    <col min="14824" max="14824" width="12.5703125" style="64" customWidth="1"/>
    <col min="14825" max="14825" width="12.28515625" style="64" customWidth="1"/>
    <col min="14826" max="14826" width="12.140625" style="64" customWidth="1"/>
    <col min="14827" max="14827" width="0" style="64" hidden="1" customWidth="1"/>
    <col min="14828" max="14828" width="11.28515625" style="64" customWidth="1"/>
    <col min="14829" max="14829" width="11.140625" style="64" customWidth="1"/>
    <col min="14830" max="14831" width="0" style="64" hidden="1" customWidth="1"/>
    <col min="14832" max="14832" width="8.85546875" style="64" bestFit="1" customWidth="1"/>
    <col min="14833" max="15070" width="11.42578125" style="64"/>
    <col min="15071" max="15071" width="5.28515625" style="64" customWidth="1"/>
    <col min="15072" max="15072" width="25.42578125" style="64" customWidth="1"/>
    <col min="15073" max="15073" width="13" style="64" customWidth="1"/>
    <col min="15074" max="15074" width="9.5703125" style="64" customWidth="1"/>
    <col min="15075" max="15075" width="12" style="64" customWidth="1"/>
    <col min="15076" max="15076" width="12.28515625" style="64" customWidth="1"/>
    <col min="15077" max="15077" width="11.28515625" style="64" customWidth="1"/>
    <col min="15078" max="15078" width="10.85546875" style="64" customWidth="1"/>
    <col min="15079" max="15079" width="11.5703125" style="64" customWidth="1"/>
    <col min="15080" max="15080" width="12.5703125" style="64" customWidth="1"/>
    <col min="15081" max="15081" width="12.28515625" style="64" customWidth="1"/>
    <col min="15082" max="15082" width="12.140625" style="64" customWidth="1"/>
    <col min="15083" max="15083" width="0" style="64" hidden="1" customWidth="1"/>
    <col min="15084" max="15084" width="11.28515625" style="64" customWidth="1"/>
    <col min="15085" max="15085" width="11.140625" style="64" customWidth="1"/>
    <col min="15086" max="15087" width="0" style="64" hidden="1" customWidth="1"/>
    <col min="15088" max="15088" width="8.85546875" style="64" bestFit="1" customWidth="1"/>
    <col min="15089" max="15326" width="11.42578125" style="64"/>
    <col min="15327" max="15327" width="5.28515625" style="64" customWidth="1"/>
    <col min="15328" max="15328" width="25.42578125" style="64" customWidth="1"/>
    <col min="15329" max="15329" width="13" style="64" customWidth="1"/>
    <col min="15330" max="15330" width="9.5703125" style="64" customWidth="1"/>
    <col min="15331" max="15331" width="12" style="64" customWidth="1"/>
    <col min="15332" max="15332" width="12.28515625" style="64" customWidth="1"/>
    <col min="15333" max="15333" width="11.28515625" style="64" customWidth="1"/>
    <col min="15334" max="15334" width="10.85546875" style="64" customWidth="1"/>
    <col min="15335" max="15335" width="11.5703125" style="64" customWidth="1"/>
    <col min="15336" max="15336" width="12.5703125" style="64" customWidth="1"/>
    <col min="15337" max="15337" width="12.28515625" style="64" customWidth="1"/>
    <col min="15338" max="15338" width="12.140625" style="64" customWidth="1"/>
    <col min="15339" max="15339" width="0" style="64" hidden="1" customWidth="1"/>
    <col min="15340" max="15340" width="11.28515625" style="64" customWidth="1"/>
    <col min="15341" max="15341" width="11.140625" style="64" customWidth="1"/>
    <col min="15342" max="15343" width="0" style="64" hidden="1" customWidth="1"/>
    <col min="15344" max="15344" width="8.85546875" style="64" bestFit="1" customWidth="1"/>
    <col min="15345" max="15582" width="11.42578125" style="64"/>
    <col min="15583" max="15583" width="5.28515625" style="64" customWidth="1"/>
    <col min="15584" max="15584" width="25.42578125" style="64" customWidth="1"/>
    <col min="15585" max="15585" width="13" style="64" customWidth="1"/>
    <col min="15586" max="15586" width="9.5703125" style="64" customWidth="1"/>
    <col min="15587" max="15587" width="12" style="64" customWidth="1"/>
    <col min="15588" max="15588" width="12.28515625" style="64" customWidth="1"/>
    <col min="15589" max="15589" width="11.28515625" style="64" customWidth="1"/>
    <col min="15590" max="15590" width="10.85546875" style="64" customWidth="1"/>
    <col min="15591" max="15591" width="11.5703125" style="64" customWidth="1"/>
    <col min="15592" max="15592" width="12.5703125" style="64" customWidth="1"/>
    <col min="15593" max="15593" width="12.28515625" style="64" customWidth="1"/>
    <col min="15594" max="15594" width="12.140625" style="64" customWidth="1"/>
    <col min="15595" max="15595" width="0" style="64" hidden="1" customWidth="1"/>
    <col min="15596" max="15596" width="11.28515625" style="64" customWidth="1"/>
    <col min="15597" max="15597" width="11.140625" style="64" customWidth="1"/>
    <col min="15598" max="15599" width="0" style="64" hidden="1" customWidth="1"/>
    <col min="15600" max="15600" width="8.85546875" style="64" bestFit="1" customWidth="1"/>
    <col min="15601" max="15838" width="11.42578125" style="64"/>
    <col min="15839" max="15839" width="5.28515625" style="64" customWidth="1"/>
    <col min="15840" max="15840" width="25.42578125" style="64" customWidth="1"/>
    <col min="15841" max="15841" width="13" style="64" customWidth="1"/>
    <col min="15842" max="15842" width="9.5703125" style="64" customWidth="1"/>
    <col min="15843" max="15843" width="12" style="64" customWidth="1"/>
    <col min="15844" max="15844" width="12.28515625" style="64" customWidth="1"/>
    <col min="15845" max="15845" width="11.28515625" style="64" customWidth="1"/>
    <col min="15846" max="15846" width="10.85546875" style="64" customWidth="1"/>
    <col min="15847" max="15847" width="11.5703125" style="64" customWidth="1"/>
    <col min="15848" max="15848" width="12.5703125" style="64" customWidth="1"/>
    <col min="15849" max="15849" width="12.28515625" style="64" customWidth="1"/>
    <col min="15850" max="15850" width="12.140625" style="64" customWidth="1"/>
    <col min="15851" max="15851" width="0" style="64" hidden="1" customWidth="1"/>
    <col min="15852" max="15852" width="11.28515625" style="64" customWidth="1"/>
    <col min="15853" max="15853" width="11.140625" style="64" customWidth="1"/>
    <col min="15854" max="15855" width="0" style="64" hidden="1" customWidth="1"/>
    <col min="15856" max="15856" width="8.85546875" style="64" bestFit="1" customWidth="1"/>
    <col min="15857" max="16094" width="11.42578125" style="64"/>
    <col min="16095" max="16095" width="5.28515625" style="64" customWidth="1"/>
    <col min="16096" max="16096" width="25.42578125" style="64" customWidth="1"/>
    <col min="16097" max="16097" width="13" style="64" customWidth="1"/>
    <col min="16098" max="16098" width="9.5703125" style="64" customWidth="1"/>
    <col min="16099" max="16099" width="12" style="64" customWidth="1"/>
    <col min="16100" max="16100" width="12.28515625" style="64" customWidth="1"/>
    <col min="16101" max="16101" width="11.28515625" style="64" customWidth="1"/>
    <col min="16102" max="16102" width="10.85546875" style="64" customWidth="1"/>
    <col min="16103" max="16103" width="11.5703125" style="64" customWidth="1"/>
    <col min="16104" max="16104" width="12.5703125" style="64" customWidth="1"/>
    <col min="16105" max="16105" width="12.28515625" style="64" customWidth="1"/>
    <col min="16106" max="16106" width="12.140625" style="64" customWidth="1"/>
    <col min="16107" max="16107" width="0" style="64" hidden="1" customWidth="1"/>
    <col min="16108" max="16108" width="11.28515625" style="64" customWidth="1"/>
    <col min="16109" max="16109" width="11.140625" style="64" customWidth="1"/>
    <col min="16110" max="16111" width="0" style="64" hidden="1" customWidth="1"/>
    <col min="16112" max="16112" width="8.85546875" style="64" bestFit="1" customWidth="1"/>
    <col min="16113" max="16384" width="11.42578125" style="64"/>
  </cols>
  <sheetData>
    <row r="1" spans="1:19" s="62" customFormat="1" ht="29.45" customHeight="1" x14ac:dyDescent="0.25">
      <c r="A1" s="223" t="s">
        <v>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9" s="62" customFormat="1" ht="21" customHeight="1" x14ac:dyDescent="0.25">
      <c r="A2" s="224" t="s">
        <v>116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9" s="62" customFormat="1" ht="21" customHeight="1" x14ac:dyDescent="0.25">
      <c r="A3" s="224" t="s">
        <v>129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19" s="62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9" ht="19.5" customHeight="1" x14ac:dyDescent="0.25">
      <c r="A5" s="225" t="s">
        <v>23</v>
      </c>
      <c r="B5" s="228" t="s">
        <v>24</v>
      </c>
      <c r="C5" s="228" t="s">
        <v>25</v>
      </c>
      <c r="D5" s="231" t="s">
        <v>26</v>
      </c>
      <c r="E5" s="232"/>
      <c r="F5" s="232"/>
      <c r="G5" s="232"/>
      <c r="H5" s="232"/>
      <c r="I5" s="233"/>
      <c r="J5" s="231" t="s">
        <v>70</v>
      </c>
      <c r="K5" s="232"/>
      <c r="L5" s="232"/>
      <c r="M5" s="232"/>
      <c r="N5" s="232"/>
      <c r="O5" s="232"/>
      <c r="P5" s="232"/>
      <c r="Q5" s="232"/>
      <c r="R5" s="233"/>
    </row>
    <row r="6" spans="1:19" ht="29.25" customHeight="1" x14ac:dyDescent="0.25">
      <c r="A6" s="226"/>
      <c r="B6" s="229"/>
      <c r="C6" s="229"/>
      <c r="D6" s="231" t="s">
        <v>71</v>
      </c>
      <c r="E6" s="233"/>
      <c r="F6" s="228" t="s">
        <v>28</v>
      </c>
      <c r="G6" s="228" t="s">
        <v>29</v>
      </c>
      <c r="H6" s="216" t="s">
        <v>30</v>
      </c>
      <c r="I6" s="216"/>
      <c r="J6" s="216" t="s">
        <v>31</v>
      </c>
      <c r="K6" s="216" t="s">
        <v>131</v>
      </c>
      <c r="L6" s="216"/>
      <c r="M6" s="216" t="s">
        <v>34</v>
      </c>
      <c r="N6" s="228" t="s">
        <v>67</v>
      </c>
      <c r="O6" s="216" t="s">
        <v>113</v>
      </c>
      <c r="P6" s="216" t="s">
        <v>38</v>
      </c>
      <c r="Q6" s="216"/>
      <c r="R6" s="216" t="s">
        <v>39</v>
      </c>
    </row>
    <row r="7" spans="1:19" ht="21.75" customHeight="1" x14ac:dyDescent="0.25">
      <c r="A7" s="227"/>
      <c r="B7" s="230"/>
      <c r="C7" s="230"/>
      <c r="D7" s="133" t="s">
        <v>31</v>
      </c>
      <c r="E7" s="133" t="s">
        <v>134</v>
      </c>
      <c r="F7" s="230"/>
      <c r="G7" s="230"/>
      <c r="H7" s="115" t="s">
        <v>40</v>
      </c>
      <c r="I7" s="115" t="s">
        <v>0</v>
      </c>
      <c r="J7" s="216"/>
      <c r="K7" s="125" t="s">
        <v>132</v>
      </c>
      <c r="L7" s="125" t="s">
        <v>133</v>
      </c>
      <c r="M7" s="216"/>
      <c r="N7" s="230"/>
      <c r="O7" s="216"/>
      <c r="P7" s="115" t="s">
        <v>41</v>
      </c>
      <c r="Q7" s="115" t="s">
        <v>0</v>
      </c>
      <c r="R7" s="216"/>
    </row>
    <row r="8" spans="1:19" s="67" customFormat="1" ht="38.25" customHeight="1" x14ac:dyDescent="0.25">
      <c r="A8" s="26">
        <v>1</v>
      </c>
      <c r="B8" s="27" t="s">
        <v>121</v>
      </c>
      <c r="C8" s="65" t="s">
        <v>88</v>
      </c>
      <c r="D8" s="29">
        <v>62</v>
      </c>
      <c r="E8" s="29">
        <v>62</v>
      </c>
      <c r="F8" s="29">
        <v>0</v>
      </c>
      <c r="G8" s="29">
        <v>0</v>
      </c>
      <c r="H8" s="29">
        <f>G8-F8</f>
        <v>0</v>
      </c>
      <c r="I8" s="151">
        <v>0</v>
      </c>
      <c r="J8" s="84">
        <v>135404</v>
      </c>
      <c r="K8" s="84"/>
      <c r="L8" s="84"/>
      <c r="M8" s="88">
        <f>+J8+K8-L8</f>
        <v>135404</v>
      </c>
      <c r="N8" s="84">
        <v>76510.2</v>
      </c>
      <c r="O8" s="84">
        <f>'Ingresos Propios Ene-Mar'!R9-'1 Propios Ene-Mar'!N8</f>
        <v>30737</v>
      </c>
      <c r="P8" s="155">
        <f>N8-O8</f>
        <v>45773.2</v>
      </c>
      <c r="Q8" s="152">
        <f t="shared" ref="Q8:Q16" si="0">+P8/N8</f>
        <v>0.59826271529809094</v>
      </c>
      <c r="R8" s="30" t="s">
        <v>5</v>
      </c>
    </row>
    <row r="9" spans="1:19" ht="38.25" customHeight="1" x14ac:dyDescent="0.25">
      <c r="A9" s="26">
        <f t="shared" ref="A9:A18" si="1">1+A8</f>
        <v>2</v>
      </c>
      <c r="B9" s="27" t="s">
        <v>48</v>
      </c>
      <c r="C9" s="68" t="s">
        <v>118</v>
      </c>
      <c r="D9" s="29">
        <v>1047</v>
      </c>
      <c r="E9" s="29">
        <v>1047</v>
      </c>
      <c r="F9" s="29">
        <v>390</v>
      </c>
      <c r="G9" s="29">
        <v>0</v>
      </c>
      <c r="H9" s="29">
        <f t="shared" ref="H9:H14" si="2">G9-F9</f>
        <v>-390</v>
      </c>
      <c r="I9" s="151">
        <f t="shared" ref="I9:I14" si="3">(G9/F9)-1</f>
        <v>-1</v>
      </c>
      <c r="J9" s="84">
        <v>1615169</v>
      </c>
      <c r="K9" s="84"/>
      <c r="L9" s="84"/>
      <c r="M9" s="88">
        <f t="shared" ref="M9:M16" si="4">+J9+K9-L9</f>
        <v>1615169</v>
      </c>
      <c r="N9" s="84">
        <v>753776.6</v>
      </c>
      <c r="O9" s="84">
        <f>'Ingresos Propios Ene-Mar'!R10-'1 Propios Ene-Mar'!N9</f>
        <v>752525.41999999993</v>
      </c>
      <c r="P9" s="155">
        <f t="shared" ref="P9:P18" si="5">N9-O9</f>
        <v>1251.1800000000512</v>
      </c>
      <c r="Q9" s="152">
        <f t="shared" si="0"/>
        <v>1.6598817209237476E-3</v>
      </c>
      <c r="R9" s="30" t="s">
        <v>7</v>
      </c>
    </row>
    <row r="10" spans="1:19" s="67" customFormat="1" ht="38.25" customHeight="1" x14ac:dyDescent="0.25">
      <c r="A10" s="26">
        <f t="shared" si="1"/>
        <v>3</v>
      </c>
      <c r="B10" s="27" t="s">
        <v>50</v>
      </c>
      <c r="C10" s="65" t="s">
        <v>73</v>
      </c>
      <c r="D10" s="29">
        <v>3</v>
      </c>
      <c r="E10" s="29">
        <v>3</v>
      </c>
      <c r="F10" s="29">
        <v>1</v>
      </c>
      <c r="G10" s="29">
        <v>1</v>
      </c>
      <c r="H10" s="29">
        <f t="shared" si="2"/>
        <v>0</v>
      </c>
      <c r="I10" s="151">
        <f t="shared" si="3"/>
        <v>0</v>
      </c>
      <c r="J10" s="84">
        <v>207450</v>
      </c>
      <c r="K10" s="84"/>
      <c r="L10" s="84"/>
      <c r="M10" s="88">
        <f t="shared" si="4"/>
        <v>207450</v>
      </c>
      <c r="N10" s="84">
        <v>0</v>
      </c>
      <c r="O10" s="84">
        <f>'Ingresos Propios Ene-Mar'!R11-'1 Propios Ene-Mar'!N10</f>
        <v>0</v>
      </c>
      <c r="P10" s="155">
        <f t="shared" si="5"/>
        <v>0</v>
      </c>
      <c r="Q10" s="152">
        <v>0</v>
      </c>
      <c r="R10" s="30" t="s">
        <v>8</v>
      </c>
    </row>
    <row r="11" spans="1:19" s="67" customFormat="1" ht="38.25" customHeight="1" x14ac:dyDescent="0.25">
      <c r="A11" s="26">
        <f t="shared" si="1"/>
        <v>4</v>
      </c>
      <c r="B11" s="27" t="s">
        <v>55</v>
      </c>
      <c r="C11" s="68" t="s">
        <v>101</v>
      </c>
      <c r="D11" s="29">
        <v>40</v>
      </c>
      <c r="E11" s="29">
        <v>40</v>
      </c>
      <c r="F11" s="29">
        <v>16</v>
      </c>
      <c r="G11" s="29">
        <v>20</v>
      </c>
      <c r="H11" s="29">
        <f t="shared" si="2"/>
        <v>4</v>
      </c>
      <c r="I11" s="151">
        <f t="shared" si="3"/>
        <v>0.25</v>
      </c>
      <c r="J11" s="84">
        <v>340429</v>
      </c>
      <c r="K11" s="84"/>
      <c r="L11" s="84">
        <v>74800</v>
      </c>
      <c r="M11" s="88">
        <f t="shared" si="4"/>
        <v>265629</v>
      </c>
      <c r="N11" s="84">
        <v>72530.350000000006</v>
      </c>
      <c r="O11" s="84">
        <f>'Ingresos Propios Ene-Mar'!R13-'1 Propios Ene-Mar'!N11</f>
        <v>71466.149999999994</v>
      </c>
      <c r="P11" s="155">
        <f t="shared" si="5"/>
        <v>1064.2000000000116</v>
      </c>
      <c r="Q11" s="152">
        <f t="shared" si="0"/>
        <v>1.4672478486592325E-2</v>
      </c>
      <c r="R11" s="30" t="s">
        <v>12</v>
      </c>
    </row>
    <row r="12" spans="1:19" s="67" customFormat="1" ht="38.25" customHeight="1" x14ac:dyDescent="0.25">
      <c r="A12" s="26">
        <f t="shared" si="1"/>
        <v>5</v>
      </c>
      <c r="B12" s="27" t="s">
        <v>122</v>
      </c>
      <c r="C12" s="68" t="s">
        <v>95</v>
      </c>
      <c r="D12" s="29">
        <v>1</v>
      </c>
      <c r="E12" s="29">
        <v>1</v>
      </c>
      <c r="F12" s="29">
        <v>0.25</v>
      </c>
      <c r="G12" s="86">
        <v>0.25</v>
      </c>
      <c r="H12" s="29">
        <f t="shared" si="2"/>
        <v>0</v>
      </c>
      <c r="I12" s="151">
        <f t="shared" si="3"/>
        <v>0</v>
      </c>
      <c r="J12" s="84">
        <v>98862</v>
      </c>
      <c r="K12" s="84">
        <v>202148</v>
      </c>
      <c r="L12" s="84"/>
      <c r="M12" s="88">
        <f t="shared" si="4"/>
        <v>301010</v>
      </c>
      <c r="N12" s="84">
        <v>24888.05</v>
      </c>
      <c r="O12" s="84" t="e">
        <f>'Ingresos Propios Ene-Mar'!#REF!-'1 Propios Ene-Mar'!N12</f>
        <v>#REF!</v>
      </c>
      <c r="P12" s="155" t="e">
        <f t="shared" si="5"/>
        <v>#REF!</v>
      </c>
      <c r="Q12" s="152" t="e">
        <f t="shared" si="0"/>
        <v>#REF!</v>
      </c>
      <c r="R12" s="30" t="s">
        <v>13</v>
      </c>
    </row>
    <row r="13" spans="1:19" ht="38.25" customHeight="1" x14ac:dyDescent="0.25">
      <c r="A13" s="26">
        <f t="shared" si="1"/>
        <v>6</v>
      </c>
      <c r="B13" s="27" t="s">
        <v>77</v>
      </c>
      <c r="C13" s="68" t="s">
        <v>100</v>
      </c>
      <c r="D13" s="29">
        <v>52</v>
      </c>
      <c r="E13" s="29">
        <v>52</v>
      </c>
      <c r="F13" s="29">
        <v>12</v>
      </c>
      <c r="G13" s="29">
        <v>13</v>
      </c>
      <c r="H13" s="29">
        <f t="shared" si="2"/>
        <v>1</v>
      </c>
      <c r="I13" s="151">
        <f t="shared" si="3"/>
        <v>8.3333333333333259E-2</v>
      </c>
      <c r="J13" s="84">
        <v>1627713</v>
      </c>
      <c r="K13" s="84"/>
      <c r="L13" s="84"/>
      <c r="M13" s="88">
        <f t="shared" si="4"/>
        <v>1627713</v>
      </c>
      <c r="N13" s="84">
        <v>604777.42000000004</v>
      </c>
      <c r="O13" s="84">
        <f>'Ingresos Propios Ene-Mar'!R14-'1 Propios Ene-Mar'!N13</f>
        <v>168435</v>
      </c>
      <c r="P13" s="155">
        <f t="shared" si="5"/>
        <v>436342.42000000004</v>
      </c>
      <c r="Q13" s="152">
        <f t="shared" si="0"/>
        <v>0.72149257821166668</v>
      </c>
      <c r="R13" s="30" t="s">
        <v>15</v>
      </c>
    </row>
    <row r="14" spans="1:19" s="67" customFormat="1" ht="45.75" customHeight="1" x14ac:dyDescent="0.25">
      <c r="A14" s="26">
        <f t="shared" si="1"/>
        <v>7</v>
      </c>
      <c r="B14" s="27" t="s">
        <v>63</v>
      </c>
      <c r="C14" s="68" t="s">
        <v>93</v>
      </c>
      <c r="D14" s="29">
        <v>24</v>
      </c>
      <c r="E14" s="29">
        <v>23</v>
      </c>
      <c r="F14" s="29">
        <v>9</v>
      </c>
      <c r="G14" s="29">
        <v>9</v>
      </c>
      <c r="H14" s="29">
        <f t="shared" si="2"/>
        <v>0</v>
      </c>
      <c r="I14" s="151">
        <f t="shared" si="3"/>
        <v>0</v>
      </c>
      <c r="J14" s="84">
        <v>2073337</v>
      </c>
      <c r="K14" s="84"/>
      <c r="L14" s="84">
        <v>773335</v>
      </c>
      <c r="M14" s="88">
        <f t="shared" si="4"/>
        <v>1300002</v>
      </c>
      <c r="N14" s="84">
        <v>265314.5</v>
      </c>
      <c r="O14" s="84">
        <f>'Ingresos Propios Ene-Mar'!R17-'1 Propios Ene-Mar'!N14</f>
        <v>775625</v>
      </c>
      <c r="P14" s="155">
        <f t="shared" si="5"/>
        <v>-510310.5</v>
      </c>
      <c r="Q14" s="152">
        <f t="shared" si="0"/>
        <v>-1.9234173028613213</v>
      </c>
      <c r="R14" s="30" t="s">
        <v>18</v>
      </c>
      <c r="S14" s="157"/>
    </row>
    <row r="15" spans="1:19" s="67" customFormat="1" ht="38.25" customHeight="1" x14ac:dyDescent="0.25">
      <c r="A15" s="26">
        <f t="shared" si="1"/>
        <v>8</v>
      </c>
      <c r="B15" s="36" t="s">
        <v>65</v>
      </c>
      <c r="C15" s="29" t="s">
        <v>66</v>
      </c>
      <c r="D15" s="29">
        <v>1</v>
      </c>
      <c r="E15" s="29">
        <v>1</v>
      </c>
      <c r="F15" s="29">
        <f>+'Tula IngrPropios'!E16+'UACh IngrPropios'!E13</f>
        <v>0.25</v>
      </c>
      <c r="G15" s="29">
        <v>0.25</v>
      </c>
      <c r="H15" s="29">
        <f>G15-F15</f>
        <v>0</v>
      </c>
      <c r="I15" s="151">
        <f>(G15/F15)-1</f>
        <v>0</v>
      </c>
      <c r="J15" s="84">
        <v>4374741</v>
      </c>
      <c r="K15" s="84"/>
      <c r="L15" s="84"/>
      <c r="M15" s="88">
        <f t="shared" si="4"/>
        <v>4374741</v>
      </c>
      <c r="N15" s="84">
        <v>1091733.4099999999</v>
      </c>
      <c r="O15" s="84">
        <v>980686</v>
      </c>
      <c r="P15" s="155">
        <f t="shared" si="5"/>
        <v>111047.40999999992</v>
      </c>
      <c r="Q15" s="152">
        <f t="shared" si="0"/>
        <v>0.10171659947642339</v>
      </c>
      <c r="R15" s="35" t="s">
        <v>19</v>
      </c>
      <c r="S15" s="157">
        <f>+O15-980686</f>
        <v>0</v>
      </c>
    </row>
    <row r="16" spans="1:19" s="67" customFormat="1" ht="38.25" customHeight="1" x14ac:dyDescent="0.25">
      <c r="A16" s="26">
        <f t="shared" si="1"/>
        <v>9</v>
      </c>
      <c r="B16" s="36" t="s">
        <v>123</v>
      </c>
      <c r="C16" s="29" t="s">
        <v>102</v>
      </c>
      <c r="D16" s="29">
        <v>2</v>
      </c>
      <c r="E16" s="29">
        <v>2</v>
      </c>
      <c r="F16" s="29">
        <v>0.5</v>
      </c>
      <c r="G16" s="86">
        <v>0.5</v>
      </c>
      <c r="H16" s="29">
        <f t="shared" ref="H16:H18" si="6">G16-F16</f>
        <v>0</v>
      </c>
      <c r="I16" s="151">
        <f t="shared" ref="I16" si="7">(G16/F16)-1</f>
        <v>0</v>
      </c>
      <c r="J16" s="84">
        <v>1006968</v>
      </c>
      <c r="K16" s="84"/>
      <c r="L16" s="84"/>
      <c r="M16" s="88">
        <f t="shared" si="4"/>
        <v>1006968</v>
      </c>
      <c r="N16" s="84">
        <v>205342</v>
      </c>
      <c r="O16" s="84">
        <v>185553</v>
      </c>
      <c r="P16" s="155">
        <f t="shared" si="5"/>
        <v>19789</v>
      </c>
      <c r="Q16" s="152">
        <f t="shared" si="0"/>
        <v>9.6370932395710568E-2</v>
      </c>
      <c r="R16" s="30" t="s">
        <v>20</v>
      </c>
    </row>
    <row r="17" spans="1:18" s="67" customFormat="1" ht="38.25" customHeight="1" x14ac:dyDescent="0.25">
      <c r="A17" s="26">
        <f t="shared" si="1"/>
        <v>10</v>
      </c>
      <c r="B17" s="36" t="s">
        <v>124</v>
      </c>
      <c r="C17" s="29" t="s">
        <v>103</v>
      </c>
      <c r="D17" s="29">
        <v>1</v>
      </c>
      <c r="E17" s="29">
        <v>1</v>
      </c>
      <c r="F17" s="29">
        <v>0</v>
      </c>
      <c r="G17" s="29">
        <v>0</v>
      </c>
      <c r="H17" s="29">
        <f t="shared" si="6"/>
        <v>0</v>
      </c>
      <c r="I17" s="151">
        <v>0</v>
      </c>
      <c r="J17" s="84">
        <v>80000</v>
      </c>
      <c r="K17" s="84"/>
      <c r="L17" s="84"/>
      <c r="M17" s="88">
        <f>+J17+K17-L17</f>
        <v>80000</v>
      </c>
      <c r="N17" s="84">
        <v>0</v>
      </c>
      <c r="O17" s="84">
        <f>'Ingresos Propios Ene-Mar'!R20-'1 Propios Ene-Mar'!N17</f>
        <v>0</v>
      </c>
      <c r="P17" s="155">
        <f t="shared" si="5"/>
        <v>0</v>
      </c>
      <c r="Q17" s="152">
        <v>0</v>
      </c>
      <c r="R17" s="30" t="s">
        <v>21</v>
      </c>
    </row>
    <row r="18" spans="1:18" s="67" customFormat="1" ht="38.25" customHeight="1" x14ac:dyDescent="0.25">
      <c r="A18" s="26">
        <f t="shared" si="1"/>
        <v>11</v>
      </c>
      <c r="B18" s="36" t="s">
        <v>85</v>
      </c>
      <c r="C18" s="29" t="s">
        <v>130</v>
      </c>
      <c r="D18" s="132">
        <v>0</v>
      </c>
      <c r="E18" s="132">
        <v>3</v>
      </c>
      <c r="F18" s="132">
        <v>0</v>
      </c>
      <c r="G18" s="132">
        <v>0</v>
      </c>
      <c r="H18" s="29">
        <f t="shared" si="6"/>
        <v>0</v>
      </c>
      <c r="I18" s="151">
        <v>0</v>
      </c>
      <c r="J18" s="128"/>
      <c r="K18" s="84">
        <v>645987</v>
      </c>
      <c r="L18" s="128"/>
      <c r="M18" s="88">
        <f>+J18+K18-L18</f>
        <v>645987</v>
      </c>
      <c r="N18" s="156">
        <v>0</v>
      </c>
      <c r="O18" s="145" t="e">
        <f>'Ingresos Propios Ene-Mar'!#REF!</f>
        <v>#REF!</v>
      </c>
      <c r="P18" s="155" t="e">
        <f t="shared" si="5"/>
        <v>#REF!</v>
      </c>
      <c r="Q18" s="152">
        <v>0</v>
      </c>
      <c r="R18" s="132" t="s">
        <v>135</v>
      </c>
    </row>
    <row r="19" spans="1:18" ht="38.25" customHeight="1" x14ac:dyDescent="0.25">
      <c r="A19" s="241" t="s">
        <v>1</v>
      </c>
      <c r="B19" s="242"/>
      <c r="C19" s="243"/>
      <c r="D19" s="99">
        <f t="shared" ref="D19" si="8">SUM(D8:D18)</f>
        <v>1233</v>
      </c>
      <c r="E19" s="99">
        <f t="shared" ref="E19:P19" si="9">SUM(E8:E18)</f>
        <v>1235</v>
      </c>
      <c r="F19" s="100">
        <f>SUM(F8:F18)</f>
        <v>429</v>
      </c>
      <c r="G19" s="100">
        <f>SUM(G8:G18)</f>
        <v>44</v>
      </c>
      <c r="H19" s="99">
        <f t="shared" si="9"/>
        <v>-385</v>
      </c>
      <c r="I19" s="148">
        <f t="shared" si="9"/>
        <v>-0.66666666666666674</v>
      </c>
      <c r="J19" s="101">
        <f t="shared" si="9"/>
        <v>11560073</v>
      </c>
      <c r="K19" s="129">
        <f t="shared" si="9"/>
        <v>848135</v>
      </c>
      <c r="L19" s="129">
        <f t="shared" si="9"/>
        <v>848135</v>
      </c>
      <c r="M19" s="101">
        <f t="shared" si="9"/>
        <v>11560073</v>
      </c>
      <c r="N19" s="101">
        <f t="shared" si="9"/>
        <v>3094872.5300000003</v>
      </c>
      <c r="O19" s="101" t="e">
        <f>SUM(O8:O18)-1</f>
        <v>#REF!</v>
      </c>
      <c r="P19" s="101" t="e">
        <f t="shared" si="9"/>
        <v>#REF!</v>
      </c>
      <c r="Q19" s="154" t="e">
        <f>+P19/N19</f>
        <v>#REF!</v>
      </c>
      <c r="R19" s="44"/>
    </row>
    <row r="21" spans="1:18" ht="20.25" customHeight="1" x14ac:dyDescent="0.25">
      <c r="O21" s="147"/>
    </row>
    <row r="22" spans="1:18" ht="9" customHeight="1" x14ac:dyDescent="0.25">
      <c r="R22" s="71"/>
    </row>
    <row r="23" spans="1:18" s="107" customFormat="1" ht="15" x14ac:dyDescent="0.25"/>
    <row r="24" spans="1:18" s="107" customFormat="1" ht="15" x14ac:dyDescent="0.25"/>
    <row r="25" spans="1:18" s="107" customFormat="1" ht="15" x14ac:dyDescent="0.25"/>
    <row r="26" spans="1:18" s="107" customFormat="1" ht="15" x14ac:dyDescent="0.25"/>
    <row r="27" spans="1:18" s="107" customFormat="1" ht="15" x14ac:dyDescent="0.25"/>
    <row r="28" spans="1:18" s="107" customFormat="1" ht="15" x14ac:dyDescent="0.25"/>
    <row r="29" spans="1:18" s="107" customFormat="1" ht="15" x14ac:dyDescent="0.25"/>
    <row r="30" spans="1:18" s="107" customFormat="1" ht="15" x14ac:dyDescent="0.25">
      <c r="R30" s="159">
        <v>6</v>
      </c>
    </row>
    <row r="31" spans="1:18" s="107" customFormat="1" ht="15" x14ac:dyDescent="0.25"/>
  </sheetData>
  <mergeCells count="20">
    <mergeCell ref="A1:Q1"/>
    <mergeCell ref="A2:Q2"/>
    <mergeCell ref="A3:Q3"/>
    <mergeCell ref="A5:A7"/>
    <mergeCell ref="B5:B7"/>
    <mergeCell ref="C5:C7"/>
    <mergeCell ref="J5:R5"/>
    <mergeCell ref="F6:F7"/>
    <mergeCell ref="N6:N7"/>
    <mergeCell ref="O6:O7"/>
    <mergeCell ref="P6:Q6"/>
    <mergeCell ref="R6:R7"/>
    <mergeCell ref="M6:M7"/>
    <mergeCell ref="D5:I5"/>
    <mergeCell ref="A19:C19"/>
    <mergeCell ref="G6:G7"/>
    <mergeCell ref="H6:I6"/>
    <mergeCell ref="J6:J7"/>
    <mergeCell ref="K6:L6"/>
    <mergeCell ref="D6:E6"/>
  </mergeCells>
  <printOptions horizontalCentered="1"/>
  <pageMargins left="0.78740157480314965" right="0" top="0.78740157480314965" bottom="0.23622047244094491" header="0.19685039370078741" footer="0.15748031496062992"/>
  <pageSetup scale="5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2"/>
  <sheetViews>
    <sheetView zoomScale="90" zoomScaleNormal="90" workbookViewId="0">
      <pane xSplit="2" ySplit="7" topLeftCell="C8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baseColWidth="10" defaultRowHeight="12.75" x14ac:dyDescent="0.25"/>
  <cols>
    <col min="1" max="1" width="5.28515625" style="70" customWidth="1"/>
    <col min="2" max="2" width="25.42578125" style="70" customWidth="1"/>
    <col min="3" max="3" width="16.42578125" style="70" customWidth="1"/>
    <col min="4" max="4" width="9.5703125" style="70" customWidth="1"/>
    <col min="5" max="5" width="12" style="70" customWidth="1"/>
    <col min="6" max="6" width="12.28515625" style="70" customWidth="1"/>
    <col min="7" max="7" width="11.28515625" style="70" customWidth="1"/>
    <col min="8" max="8" width="10.85546875" style="70" customWidth="1"/>
    <col min="9" max="9" width="11.5703125" style="70" customWidth="1"/>
    <col min="10" max="10" width="12.5703125" style="70" customWidth="1"/>
    <col min="11" max="11" width="12.28515625" style="70" customWidth="1"/>
    <col min="12" max="12" width="12.140625" style="70" customWidth="1"/>
    <col min="13" max="13" width="14.140625" style="70" hidden="1" customWidth="1"/>
    <col min="14" max="14" width="11.28515625" style="70" customWidth="1"/>
    <col min="15" max="15" width="11.140625" style="70" customWidth="1"/>
    <col min="16" max="16" width="9.85546875" style="70" hidden="1" customWidth="1"/>
    <col min="17" max="17" width="9.7109375" style="70" hidden="1" customWidth="1"/>
    <col min="18" max="18" width="8.85546875" style="64" bestFit="1" customWidth="1"/>
    <col min="19" max="256" width="11.42578125" style="64"/>
    <col min="257" max="257" width="5.28515625" style="64" customWidth="1"/>
    <col min="258" max="258" width="25.42578125" style="64" customWidth="1"/>
    <col min="259" max="259" width="13" style="64" customWidth="1"/>
    <col min="260" max="260" width="9.5703125" style="64" customWidth="1"/>
    <col min="261" max="261" width="12" style="64" customWidth="1"/>
    <col min="262" max="262" width="12.28515625" style="64" customWidth="1"/>
    <col min="263" max="263" width="11.28515625" style="64" customWidth="1"/>
    <col min="264" max="264" width="10.85546875" style="64" customWidth="1"/>
    <col min="265" max="265" width="11.5703125" style="64" customWidth="1"/>
    <col min="266" max="266" width="12.5703125" style="64" customWidth="1"/>
    <col min="267" max="267" width="12.28515625" style="64" customWidth="1"/>
    <col min="268" max="268" width="12.140625" style="64" customWidth="1"/>
    <col min="269" max="269" width="0" style="64" hidden="1" customWidth="1"/>
    <col min="270" max="270" width="11.28515625" style="64" customWidth="1"/>
    <col min="271" max="271" width="11.140625" style="64" customWidth="1"/>
    <col min="272" max="273" width="0" style="64" hidden="1" customWidth="1"/>
    <col min="274" max="274" width="8.85546875" style="64" bestFit="1" customWidth="1"/>
    <col min="275" max="512" width="11.42578125" style="64"/>
    <col min="513" max="513" width="5.28515625" style="64" customWidth="1"/>
    <col min="514" max="514" width="25.42578125" style="64" customWidth="1"/>
    <col min="515" max="515" width="13" style="64" customWidth="1"/>
    <col min="516" max="516" width="9.5703125" style="64" customWidth="1"/>
    <col min="517" max="517" width="12" style="64" customWidth="1"/>
    <col min="518" max="518" width="12.28515625" style="64" customWidth="1"/>
    <col min="519" max="519" width="11.28515625" style="64" customWidth="1"/>
    <col min="520" max="520" width="10.85546875" style="64" customWidth="1"/>
    <col min="521" max="521" width="11.5703125" style="64" customWidth="1"/>
    <col min="522" max="522" width="12.5703125" style="64" customWidth="1"/>
    <col min="523" max="523" width="12.28515625" style="64" customWidth="1"/>
    <col min="524" max="524" width="12.140625" style="64" customWidth="1"/>
    <col min="525" max="525" width="0" style="64" hidden="1" customWidth="1"/>
    <col min="526" max="526" width="11.28515625" style="64" customWidth="1"/>
    <col min="527" max="527" width="11.140625" style="64" customWidth="1"/>
    <col min="528" max="529" width="0" style="64" hidden="1" customWidth="1"/>
    <col min="530" max="530" width="8.85546875" style="64" bestFit="1" customWidth="1"/>
    <col min="531" max="768" width="11.42578125" style="64"/>
    <col min="769" max="769" width="5.28515625" style="64" customWidth="1"/>
    <col min="770" max="770" width="25.42578125" style="64" customWidth="1"/>
    <col min="771" max="771" width="13" style="64" customWidth="1"/>
    <col min="772" max="772" width="9.5703125" style="64" customWidth="1"/>
    <col min="773" max="773" width="12" style="64" customWidth="1"/>
    <col min="774" max="774" width="12.28515625" style="64" customWidth="1"/>
    <col min="775" max="775" width="11.28515625" style="64" customWidth="1"/>
    <col min="776" max="776" width="10.85546875" style="64" customWidth="1"/>
    <col min="777" max="777" width="11.5703125" style="64" customWidth="1"/>
    <col min="778" max="778" width="12.5703125" style="64" customWidth="1"/>
    <col min="779" max="779" width="12.28515625" style="64" customWidth="1"/>
    <col min="780" max="780" width="12.140625" style="64" customWidth="1"/>
    <col min="781" max="781" width="0" style="64" hidden="1" customWidth="1"/>
    <col min="782" max="782" width="11.28515625" style="64" customWidth="1"/>
    <col min="783" max="783" width="11.140625" style="64" customWidth="1"/>
    <col min="784" max="785" width="0" style="64" hidden="1" customWidth="1"/>
    <col min="786" max="786" width="8.85546875" style="64" bestFit="1" customWidth="1"/>
    <col min="787" max="1024" width="11.42578125" style="64"/>
    <col min="1025" max="1025" width="5.28515625" style="64" customWidth="1"/>
    <col min="1026" max="1026" width="25.42578125" style="64" customWidth="1"/>
    <col min="1027" max="1027" width="13" style="64" customWidth="1"/>
    <col min="1028" max="1028" width="9.5703125" style="64" customWidth="1"/>
    <col min="1029" max="1029" width="12" style="64" customWidth="1"/>
    <col min="1030" max="1030" width="12.28515625" style="64" customWidth="1"/>
    <col min="1031" max="1031" width="11.28515625" style="64" customWidth="1"/>
    <col min="1032" max="1032" width="10.85546875" style="64" customWidth="1"/>
    <col min="1033" max="1033" width="11.5703125" style="64" customWidth="1"/>
    <col min="1034" max="1034" width="12.5703125" style="64" customWidth="1"/>
    <col min="1035" max="1035" width="12.28515625" style="64" customWidth="1"/>
    <col min="1036" max="1036" width="12.140625" style="64" customWidth="1"/>
    <col min="1037" max="1037" width="0" style="64" hidden="1" customWidth="1"/>
    <col min="1038" max="1038" width="11.28515625" style="64" customWidth="1"/>
    <col min="1039" max="1039" width="11.140625" style="64" customWidth="1"/>
    <col min="1040" max="1041" width="0" style="64" hidden="1" customWidth="1"/>
    <col min="1042" max="1042" width="8.85546875" style="64" bestFit="1" customWidth="1"/>
    <col min="1043" max="1280" width="11.42578125" style="64"/>
    <col min="1281" max="1281" width="5.28515625" style="64" customWidth="1"/>
    <col min="1282" max="1282" width="25.42578125" style="64" customWidth="1"/>
    <col min="1283" max="1283" width="13" style="64" customWidth="1"/>
    <col min="1284" max="1284" width="9.5703125" style="64" customWidth="1"/>
    <col min="1285" max="1285" width="12" style="64" customWidth="1"/>
    <col min="1286" max="1286" width="12.28515625" style="64" customWidth="1"/>
    <col min="1287" max="1287" width="11.28515625" style="64" customWidth="1"/>
    <col min="1288" max="1288" width="10.85546875" style="64" customWidth="1"/>
    <col min="1289" max="1289" width="11.5703125" style="64" customWidth="1"/>
    <col min="1290" max="1290" width="12.5703125" style="64" customWidth="1"/>
    <col min="1291" max="1291" width="12.28515625" style="64" customWidth="1"/>
    <col min="1292" max="1292" width="12.140625" style="64" customWidth="1"/>
    <col min="1293" max="1293" width="0" style="64" hidden="1" customWidth="1"/>
    <col min="1294" max="1294" width="11.28515625" style="64" customWidth="1"/>
    <col min="1295" max="1295" width="11.140625" style="64" customWidth="1"/>
    <col min="1296" max="1297" width="0" style="64" hidden="1" customWidth="1"/>
    <col min="1298" max="1298" width="8.85546875" style="64" bestFit="1" customWidth="1"/>
    <col min="1299" max="1536" width="11.42578125" style="64"/>
    <col min="1537" max="1537" width="5.28515625" style="64" customWidth="1"/>
    <col min="1538" max="1538" width="25.42578125" style="64" customWidth="1"/>
    <col min="1539" max="1539" width="13" style="64" customWidth="1"/>
    <col min="1540" max="1540" width="9.5703125" style="64" customWidth="1"/>
    <col min="1541" max="1541" width="12" style="64" customWidth="1"/>
    <col min="1542" max="1542" width="12.28515625" style="64" customWidth="1"/>
    <col min="1543" max="1543" width="11.28515625" style="64" customWidth="1"/>
    <col min="1544" max="1544" width="10.85546875" style="64" customWidth="1"/>
    <col min="1545" max="1545" width="11.5703125" style="64" customWidth="1"/>
    <col min="1546" max="1546" width="12.5703125" style="64" customWidth="1"/>
    <col min="1547" max="1547" width="12.28515625" style="64" customWidth="1"/>
    <col min="1548" max="1548" width="12.140625" style="64" customWidth="1"/>
    <col min="1549" max="1549" width="0" style="64" hidden="1" customWidth="1"/>
    <col min="1550" max="1550" width="11.28515625" style="64" customWidth="1"/>
    <col min="1551" max="1551" width="11.140625" style="64" customWidth="1"/>
    <col min="1552" max="1553" width="0" style="64" hidden="1" customWidth="1"/>
    <col min="1554" max="1554" width="8.85546875" style="64" bestFit="1" customWidth="1"/>
    <col min="1555" max="1792" width="11.42578125" style="64"/>
    <col min="1793" max="1793" width="5.28515625" style="64" customWidth="1"/>
    <col min="1794" max="1794" width="25.42578125" style="64" customWidth="1"/>
    <col min="1795" max="1795" width="13" style="64" customWidth="1"/>
    <col min="1796" max="1796" width="9.5703125" style="64" customWidth="1"/>
    <col min="1797" max="1797" width="12" style="64" customWidth="1"/>
    <col min="1798" max="1798" width="12.28515625" style="64" customWidth="1"/>
    <col min="1799" max="1799" width="11.28515625" style="64" customWidth="1"/>
    <col min="1800" max="1800" width="10.85546875" style="64" customWidth="1"/>
    <col min="1801" max="1801" width="11.5703125" style="64" customWidth="1"/>
    <col min="1802" max="1802" width="12.5703125" style="64" customWidth="1"/>
    <col min="1803" max="1803" width="12.28515625" style="64" customWidth="1"/>
    <col min="1804" max="1804" width="12.140625" style="64" customWidth="1"/>
    <col min="1805" max="1805" width="0" style="64" hidden="1" customWidth="1"/>
    <col min="1806" max="1806" width="11.28515625" style="64" customWidth="1"/>
    <col min="1807" max="1807" width="11.140625" style="64" customWidth="1"/>
    <col min="1808" max="1809" width="0" style="64" hidden="1" customWidth="1"/>
    <col min="1810" max="1810" width="8.85546875" style="64" bestFit="1" customWidth="1"/>
    <col min="1811" max="2048" width="11.42578125" style="64"/>
    <col min="2049" max="2049" width="5.28515625" style="64" customWidth="1"/>
    <col min="2050" max="2050" width="25.42578125" style="64" customWidth="1"/>
    <col min="2051" max="2051" width="13" style="64" customWidth="1"/>
    <col min="2052" max="2052" width="9.5703125" style="64" customWidth="1"/>
    <col min="2053" max="2053" width="12" style="64" customWidth="1"/>
    <col min="2054" max="2054" width="12.28515625" style="64" customWidth="1"/>
    <col min="2055" max="2055" width="11.28515625" style="64" customWidth="1"/>
    <col min="2056" max="2056" width="10.85546875" style="64" customWidth="1"/>
    <col min="2057" max="2057" width="11.5703125" style="64" customWidth="1"/>
    <col min="2058" max="2058" width="12.5703125" style="64" customWidth="1"/>
    <col min="2059" max="2059" width="12.28515625" style="64" customWidth="1"/>
    <col min="2060" max="2060" width="12.140625" style="64" customWidth="1"/>
    <col min="2061" max="2061" width="0" style="64" hidden="1" customWidth="1"/>
    <col min="2062" max="2062" width="11.28515625" style="64" customWidth="1"/>
    <col min="2063" max="2063" width="11.140625" style="64" customWidth="1"/>
    <col min="2064" max="2065" width="0" style="64" hidden="1" customWidth="1"/>
    <col min="2066" max="2066" width="8.85546875" style="64" bestFit="1" customWidth="1"/>
    <col min="2067" max="2304" width="11.42578125" style="64"/>
    <col min="2305" max="2305" width="5.28515625" style="64" customWidth="1"/>
    <col min="2306" max="2306" width="25.42578125" style="64" customWidth="1"/>
    <col min="2307" max="2307" width="13" style="64" customWidth="1"/>
    <col min="2308" max="2308" width="9.5703125" style="64" customWidth="1"/>
    <col min="2309" max="2309" width="12" style="64" customWidth="1"/>
    <col min="2310" max="2310" width="12.28515625" style="64" customWidth="1"/>
    <col min="2311" max="2311" width="11.28515625" style="64" customWidth="1"/>
    <col min="2312" max="2312" width="10.85546875" style="64" customWidth="1"/>
    <col min="2313" max="2313" width="11.5703125" style="64" customWidth="1"/>
    <col min="2314" max="2314" width="12.5703125" style="64" customWidth="1"/>
    <col min="2315" max="2315" width="12.28515625" style="64" customWidth="1"/>
    <col min="2316" max="2316" width="12.140625" style="64" customWidth="1"/>
    <col min="2317" max="2317" width="0" style="64" hidden="1" customWidth="1"/>
    <col min="2318" max="2318" width="11.28515625" style="64" customWidth="1"/>
    <col min="2319" max="2319" width="11.140625" style="64" customWidth="1"/>
    <col min="2320" max="2321" width="0" style="64" hidden="1" customWidth="1"/>
    <col min="2322" max="2322" width="8.85546875" style="64" bestFit="1" customWidth="1"/>
    <col min="2323" max="2560" width="11.42578125" style="64"/>
    <col min="2561" max="2561" width="5.28515625" style="64" customWidth="1"/>
    <col min="2562" max="2562" width="25.42578125" style="64" customWidth="1"/>
    <col min="2563" max="2563" width="13" style="64" customWidth="1"/>
    <col min="2564" max="2564" width="9.5703125" style="64" customWidth="1"/>
    <col min="2565" max="2565" width="12" style="64" customWidth="1"/>
    <col min="2566" max="2566" width="12.28515625" style="64" customWidth="1"/>
    <col min="2567" max="2567" width="11.28515625" style="64" customWidth="1"/>
    <col min="2568" max="2568" width="10.85546875" style="64" customWidth="1"/>
    <col min="2569" max="2569" width="11.5703125" style="64" customWidth="1"/>
    <col min="2570" max="2570" width="12.5703125" style="64" customWidth="1"/>
    <col min="2571" max="2571" width="12.28515625" style="64" customWidth="1"/>
    <col min="2572" max="2572" width="12.140625" style="64" customWidth="1"/>
    <col min="2573" max="2573" width="0" style="64" hidden="1" customWidth="1"/>
    <col min="2574" max="2574" width="11.28515625" style="64" customWidth="1"/>
    <col min="2575" max="2575" width="11.140625" style="64" customWidth="1"/>
    <col min="2576" max="2577" width="0" style="64" hidden="1" customWidth="1"/>
    <col min="2578" max="2578" width="8.85546875" style="64" bestFit="1" customWidth="1"/>
    <col min="2579" max="2816" width="11.42578125" style="64"/>
    <col min="2817" max="2817" width="5.28515625" style="64" customWidth="1"/>
    <col min="2818" max="2818" width="25.42578125" style="64" customWidth="1"/>
    <col min="2819" max="2819" width="13" style="64" customWidth="1"/>
    <col min="2820" max="2820" width="9.5703125" style="64" customWidth="1"/>
    <col min="2821" max="2821" width="12" style="64" customWidth="1"/>
    <col min="2822" max="2822" width="12.28515625" style="64" customWidth="1"/>
    <col min="2823" max="2823" width="11.28515625" style="64" customWidth="1"/>
    <col min="2824" max="2824" width="10.85546875" style="64" customWidth="1"/>
    <col min="2825" max="2825" width="11.5703125" style="64" customWidth="1"/>
    <col min="2826" max="2826" width="12.5703125" style="64" customWidth="1"/>
    <col min="2827" max="2827" width="12.28515625" style="64" customWidth="1"/>
    <col min="2828" max="2828" width="12.140625" style="64" customWidth="1"/>
    <col min="2829" max="2829" width="0" style="64" hidden="1" customWidth="1"/>
    <col min="2830" max="2830" width="11.28515625" style="64" customWidth="1"/>
    <col min="2831" max="2831" width="11.140625" style="64" customWidth="1"/>
    <col min="2832" max="2833" width="0" style="64" hidden="1" customWidth="1"/>
    <col min="2834" max="2834" width="8.85546875" style="64" bestFit="1" customWidth="1"/>
    <col min="2835" max="3072" width="11.42578125" style="64"/>
    <col min="3073" max="3073" width="5.28515625" style="64" customWidth="1"/>
    <col min="3074" max="3074" width="25.42578125" style="64" customWidth="1"/>
    <col min="3075" max="3075" width="13" style="64" customWidth="1"/>
    <col min="3076" max="3076" width="9.5703125" style="64" customWidth="1"/>
    <col min="3077" max="3077" width="12" style="64" customWidth="1"/>
    <col min="3078" max="3078" width="12.28515625" style="64" customWidth="1"/>
    <col min="3079" max="3079" width="11.28515625" style="64" customWidth="1"/>
    <col min="3080" max="3080" width="10.85546875" style="64" customWidth="1"/>
    <col min="3081" max="3081" width="11.5703125" style="64" customWidth="1"/>
    <col min="3082" max="3082" width="12.5703125" style="64" customWidth="1"/>
    <col min="3083" max="3083" width="12.28515625" style="64" customWidth="1"/>
    <col min="3084" max="3084" width="12.140625" style="64" customWidth="1"/>
    <col min="3085" max="3085" width="0" style="64" hidden="1" customWidth="1"/>
    <col min="3086" max="3086" width="11.28515625" style="64" customWidth="1"/>
    <col min="3087" max="3087" width="11.140625" style="64" customWidth="1"/>
    <col min="3088" max="3089" width="0" style="64" hidden="1" customWidth="1"/>
    <col min="3090" max="3090" width="8.85546875" style="64" bestFit="1" customWidth="1"/>
    <col min="3091" max="3328" width="11.42578125" style="64"/>
    <col min="3329" max="3329" width="5.28515625" style="64" customWidth="1"/>
    <col min="3330" max="3330" width="25.42578125" style="64" customWidth="1"/>
    <col min="3331" max="3331" width="13" style="64" customWidth="1"/>
    <col min="3332" max="3332" width="9.5703125" style="64" customWidth="1"/>
    <col min="3333" max="3333" width="12" style="64" customWidth="1"/>
    <col min="3334" max="3334" width="12.28515625" style="64" customWidth="1"/>
    <col min="3335" max="3335" width="11.28515625" style="64" customWidth="1"/>
    <col min="3336" max="3336" width="10.85546875" style="64" customWidth="1"/>
    <col min="3337" max="3337" width="11.5703125" style="64" customWidth="1"/>
    <col min="3338" max="3338" width="12.5703125" style="64" customWidth="1"/>
    <col min="3339" max="3339" width="12.28515625" style="64" customWidth="1"/>
    <col min="3340" max="3340" width="12.140625" style="64" customWidth="1"/>
    <col min="3341" max="3341" width="0" style="64" hidden="1" customWidth="1"/>
    <col min="3342" max="3342" width="11.28515625" style="64" customWidth="1"/>
    <col min="3343" max="3343" width="11.140625" style="64" customWidth="1"/>
    <col min="3344" max="3345" width="0" style="64" hidden="1" customWidth="1"/>
    <col min="3346" max="3346" width="8.85546875" style="64" bestFit="1" customWidth="1"/>
    <col min="3347" max="3584" width="11.42578125" style="64"/>
    <col min="3585" max="3585" width="5.28515625" style="64" customWidth="1"/>
    <col min="3586" max="3586" width="25.42578125" style="64" customWidth="1"/>
    <col min="3587" max="3587" width="13" style="64" customWidth="1"/>
    <col min="3588" max="3588" width="9.5703125" style="64" customWidth="1"/>
    <col min="3589" max="3589" width="12" style="64" customWidth="1"/>
    <col min="3590" max="3590" width="12.28515625" style="64" customWidth="1"/>
    <col min="3591" max="3591" width="11.28515625" style="64" customWidth="1"/>
    <col min="3592" max="3592" width="10.85546875" style="64" customWidth="1"/>
    <col min="3593" max="3593" width="11.5703125" style="64" customWidth="1"/>
    <col min="3594" max="3594" width="12.5703125" style="64" customWidth="1"/>
    <col min="3595" max="3595" width="12.28515625" style="64" customWidth="1"/>
    <col min="3596" max="3596" width="12.140625" style="64" customWidth="1"/>
    <col min="3597" max="3597" width="0" style="64" hidden="1" customWidth="1"/>
    <col min="3598" max="3598" width="11.28515625" style="64" customWidth="1"/>
    <col min="3599" max="3599" width="11.140625" style="64" customWidth="1"/>
    <col min="3600" max="3601" width="0" style="64" hidden="1" customWidth="1"/>
    <col min="3602" max="3602" width="8.85546875" style="64" bestFit="1" customWidth="1"/>
    <col min="3603" max="3840" width="11.42578125" style="64"/>
    <col min="3841" max="3841" width="5.28515625" style="64" customWidth="1"/>
    <col min="3842" max="3842" width="25.42578125" style="64" customWidth="1"/>
    <col min="3843" max="3843" width="13" style="64" customWidth="1"/>
    <col min="3844" max="3844" width="9.5703125" style="64" customWidth="1"/>
    <col min="3845" max="3845" width="12" style="64" customWidth="1"/>
    <col min="3846" max="3846" width="12.28515625" style="64" customWidth="1"/>
    <col min="3847" max="3847" width="11.28515625" style="64" customWidth="1"/>
    <col min="3848" max="3848" width="10.85546875" style="64" customWidth="1"/>
    <col min="3849" max="3849" width="11.5703125" style="64" customWidth="1"/>
    <col min="3850" max="3850" width="12.5703125" style="64" customWidth="1"/>
    <col min="3851" max="3851" width="12.28515625" style="64" customWidth="1"/>
    <col min="3852" max="3852" width="12.140625" style="64" customWidth="1"/>
    <col min="3853" max="3853" width="0" style="64" hidden="1" customWidth="1"/>
    <col min="3854" max="3854" width="11.28515625" style="64" customWidth="1"/>
    <col min="3855" max="3855" width="11.140625" style="64" customWidth="1"/>
    <col min="3856" max="3857" width="0" style="64" hidden="1" customWidth="1"/>
    <col min="3858" max="3858" width="8.85546875" style="64" bestFit="1" customWidth="1"/>
    <col min="3859" max="4096" width="11.42578125" style="64"/>
    <col min="4097" max="4097" width="5.28515625" style="64" customWidth="1"/>
    <col min="4098" max="4098" width="25.42578125" style="64" customWidth="1"/>
    <col min="4099" max="4099" width="13" style="64" customWidth="1"/>
    <col min="4100" max="4100" width="9.5703125" style="64" customWidth="1"/>
    <col min="4101" max="4101" width="12" style="64" customWidth="1"/>
    <col min="4102" max="4102" width="12.28515625" style="64" customWidth="1"/>
    <col min="4103" max="4103" width="11.28515625" style="64" customWidth="1"/>
    <col min="4104" max="4104" width="10.85546875" style="64" customWidth="1"/>
    <col min="4105" max="4105" width="11.5703125" style="64" customWidth="1"/>
    <col min="4106" max="4106" width="12.5703125" style="64" customWidth="1"/>
    <col min="4107" max="4107" width="12.28515625" style="64" customWidth="1"/>
    <col min="4108" max="4108" width="12.140625" style="64" customWidth="1"/>
    <col min="4109" max="4109" width="0" style="64" hidden="1" customWidth="1"/>
    <col min="4110" max="4110" width="11.28515625" style="64" customWidth="1"/>
    <col min="4111" max="4111" width="11.140625" style="64" customWidth="1"/>
    <col min="4112" max="4113" width="0" style="64" hidden="1" customWidth="1"/>
    <col min="4114" max="4114" width="8.85546875" style="64" bestFit="1" customWidth="1"/>
    <col min="4115" max="4352" width="11.42578125" style="64"/>
    <col min="4353" max="4353" width="5.28515625" style="64" customWidth="1"/>
    <col min="4354" max="4354" width="25.42578125" style="64" customWidth="1"/>
    <col min="4355" max="4355" width="13" style="64" customWidth="1"/>
    <col min="4356" max="4356" width="9.5703125" style="64" customWidth="1"/>
    <col min="4357" max="4357" width="12" style="64" customWidth="1"/>
    <col min="4358" max="4358" width="12.28515625" style="64" customWidth="1"/>
    <col min="4359" max="4359" width="11.28515625" style="64" customWidth="1"/>
    <col min="4360" max="4360" width="10.85546875" style="64" customWidth="1"/>
    <col min="4361" max="4361" width="11.5703125" style="64" customWidth="1"/>
    <col min="4362" max="4362" width="12.5703125" style="64" customWidth="1"/>
    <col min="4363" max="4363" width="12.28515625" style="64" customWidth="1"/>
    <col min="4364" max="4364" width="12.140625" style="64" customWidth="1"/>
    <col min="4365" max="4365" width="0" style="64" hidden="1" customWidth="1"/>
    <col min="4366" max="4366" width="11.28515625" style="64" customWidth="1"/>
    <col min="4367" max="4367" width="11.140625" style="64" customWidth="1"/>
    <col min="4368" max="4369" width="0" style="64" hidden="1" customWidth="1"/>
    <col min="4370" max="4370" width="8.85546875" style="64" bestFit="1" customWidth="1"/>
    <col min="4371" max="4608" width="11.42578125" style="64"/>
    <col min="4609" max="4609" width="5.28515625" style="64" customWidth="1"/>
    <col min="4610" max="4610" width="25.42578125" style="64" customWidth="1"/>
    <col min="4611" max="4611" width="13" style="64" customWidth="1"/>
    <col min="4612" max="4612" width="9.5703125" style="64" customWidth="1"/>
    <col min="4613" max="4613" width="12" style="64" customWidth="1"/>
    <col min="4614" max="4614" width="12.28515625" style="64" customWidth="1"/>
    <col min="4615" max="4615" width="11.28515625" style="64" customWidth="1"/>
    <col min="4616" max="4616" width="10.85546875" style="64" customWidth="1"/>
    <col min="4617" max="4617" width="11.5703125" style="64" customWidth="1"/>
    <col min="4618" max="4618" width="12.5703125" style="64" customWidth="1"/>
    <col min="4619" max="4619" width="12.28515625" style="64" customWidth="1"/>
    <col min="4620" max="4620" width="12.140625" style="64" customWidth="1"/>
    <col min="4621" max="4621" width="0" style="64" hidden="1" customWidth="1"/>
    <col min="4622" max="4622" width="11.28515625" style="64" customWidth="1"/>
    <col min="4623" max="4623" width="11.140625" style="64" customWidth="1"/>
    <col min="4624" max="4625" width="0" style="64" hidden="1" customWidth="1"/>
    <col min="4626" max="4626" width="8.85546875" style="64" bestFit="1" customWidth="1"/>
    <col min="4627" max="4864" width="11.42578125" style="64"/>
    <col min="4865" max="4865" width="5.28515625" style="64" customWidth="1"/>
    <col min="4866" max="4866" width="25.42578125" style="64" customWidth="1"/>
    <col min="4867" max="4867" width="13" style="64" customWidth="1"/>
    <col min="4868" max="4868" width="9.5703125" style="64" customWidth="1"/>
    <col min="4869" max="4869" width="12" style="64" customWidth="1"/>
    <col min="4870" max="4870" width="12.28515625" style="64" customWidth="1"/>
    <col min="4871" max="4871" width="11.28515625" style="64" customWidth="1"/>
    <col min="4872" max="4872" width="10.85546875" style="64" customWidth="1"/>
    <col min="4873" max="4873" width="11.5703125" style="64" customWidth="1"/>
    <col min="4874" max="4874" width="12.5703125" style="64" customWidth="1"/>
    <col min="4875" max="4875" width="12.28515625" style="64" customWidth="1"/>
    <col min="4876" max="4876" width="12.140625" style="64" customWidth="1"/>
    <col min="4877" max="4877" width="0" style="64" hidden="1" customWidth="1"/>
    <col min="4878" max="4878" width="11.28515625" style="64" customWidth="1"/>
    <col min="4879" max="4879" width="11.140625" style="64" customWidth="1"/>
    <col min="4880" max="4881" width="0" style="64" hidden="1" customWidth="1"/>
    <col min="4882" max="4882" width="8.85546875" style="64" bestFit="1" customWidth="1"/>
    <col min="4883" max="5120" width="11.42578125" style="64"/>
    <col min="5121" max="5121" width="5.28515625" style="64" customWidth="1"/>
    <col min="5122" max="5122" width="25.42578125" style="64" customWidth="1"/>
    <col min="5123" max="5123" width="13" style="64" customWidth="1"/>
    <col min="5124" max="5124" width="9.5703125" style="64" customWidth="1"/>
    <col min="5125" max="5125" width="12" style="64" customWidth="1"/>
    <col min="5126" max="5126" width="12.28515625" style="64" customWidth="1"/>
    <col min="5127" max="5127" width="11.28515625" style="64" customWidth="1"/>
    <col min="5128" max="5128" width="10.85546875" style="64" customWidth="1"/>
    <col min="5129" max="5129" width="11.5703125" style="64" customWidth="1"/>
    <col min="5130" max="5130" width="12.5703125" style="64" customWidth="1"/>
    <col min="5131" max="5131" width="12.28515625" style="64" customWidth="1"/>
    <col min="5132" max="5132" width="12.140625" style="64" customWidth="1"/>
    <col min="5133" max="5133" width="0" style="64" hidden="1" customWidth="1"/>
    <col min="5134" max="5134" width="11.28515625" style="64" customWidth="1"/>
    <col min="5135" max="5135" width="11.140625" style="64" customWidth="1"/>
    <col min="5136" max="5137" width="0" style="64" hidden="1" customWidth="1"/>
    <col min="5138" max="5138" width="8.85546875" style="64" bestFit="1" customWidth="1"/>
    <col min="5139" max="5376" width="11.42578125" style="64"/>
    <col min="5377" max="5377" width="5.28515625" style="64" customWidth="1"/>
    <col min="5378" max="5378" width="25.42578125" style="64" customWidth="1"/>
    <col min="5379" max="5379" width="13" style="64" customWidth="1"/>
    <col min="5380" max="5380" width="9.5703125" style="64" customWidth="1"/>
    <col min="5381" max="5381" width="12" style="64" customWidth="1"/>
    <col min="5382" max="5382" width="12.28515625" style="64" customWidth="1"/>
    <col min="5383" max="5383" width="11.28515625" style="64" customWidth="1"/>
    <col min="5384" max="5384" width="10.85546875" style="64" customWidth="1"/>
    <col min="5385" max="5385" width="11.5703125" style="64" customWidth="1"/>
    <col min="5386" max="5386" width="12.5703125" style="64" customWidth="1"/>
    <col min="5387" max="5387" width="12.28515625" style="64" customWidth="1"/>
    <col min="5388" max="5388" width="12.140625" style="64" customWidth="1"/>
    <col min="5389" max="5389" width="0" style="64" hidden="1" customWidth="1"/>
    <col min="5390" max="5390" width="11.28515625" style="64" customWidth="1"/>
    <col min="5391" max="5391" width="11.140625" style="64" customWidth="1"/>
    <col min="5392" max="5393" width="0" style="64" hidden="1" customWidth="1"/>
    <col min="5394" max="5394" width="8.85546875" style="64" bestFit="1" customWidth="1"/>
    <col min="5395" max="5632" width="11.42578125" style="64"/>
    <col min="5633" max="5633" width="5.28515625" style="64" customWidth="1"/>
    <col min="5634" max="5634" width="25.42578125" style="64" customWidth="1"/>
    <col min="5635" max="5635" width="13" style="64" customWidth="1"/>
    <col min="5636" max="5636" width="9.5703125" style="64" customWidth="1"/>
    <col min="5637" max="5637" width="12" style="64" customWidth="1"/>
    <col min="5638" max="5638" width="12.28515625" style="64" customWidth="1"/>
    <col min="5639" max="5639" width="11.28515625" style="64" customWidth="1"/>
    <col min="5640" max="5640" width="10.85546875" style="64" customWidth="1"/>
    <col min="5641" max="5641" width="11.5703125" style="64" customWidth="1"/>
    <col min="5642" max="5642" width="12.5703125" style="64" customWidth="1"/>
    <col min="5643" max="5643" width="12.28515625" style="64" customWidth="1"/>
    <col min="5644" max="5644" width="12.140625" style="64" customWidth="1"/>
    <col min="5645" max="5645" width="0" style="64" hidden="1" customWidth="1"/>
    <col min="5646" max="5646" width="11.28515625" style="64" customWidth="1"/>
    <col min="5647" max="5647" width="11.140625" style="64" customWidth="1"/>
    <col min="5648" max="5649" width="0" style="64" hidden="1" customWidth="1"/>
    <col min="5650" max="5650" width="8.85546875" style="64" bestFit="1" customWidth="1"/>
    <col min="5651" max="5888" width="11.42578125" style="64"/>
    <col min="5889" max="5889" width="5.28515625" style="64" customWidth="1"/>
    <col min="5890" max="5890" width="25.42578125" style="64" customWidth="1"/>
    <col min="5891" max="5891" width="13" style="64" customWidth="1"/>
    <col min="5892" max="5892" width="9.5703125" style="64" customWidth="1"/>
    <col min="5893" max="5893" width="12" style="64" customWidth="1"/>
    <col min="5894" max="5894" width="12.28515625" style="64" customWidth="1"/>
    <col min="5895" max="5895" width="11.28515625" style="64" customWidth="1"/>
    <col min="5896" max="5896" width="10.85546875" style="64" customWidth="1"/>
    <col min="5897" max="5897" width="11.5703125" style="64" customWidth="1"/>
    <col min="5898" max="5898" width="12.5703125" style="64" customWidth="1"/>
    <col min="5899" max="5899" width="12.28515625" style="64" customWidth="1"/>
    <col min="5900" max="5900" width="12.140625" style="64" customWidth="1"/>
    <col min="5901" max="5901" width="0" style="64" hidden="1" customWidth="1"/>
    <col min="5902" max="5902" width="11.28515625" style="64" customWidth="1"/>
    <col min="5903" max="5903" width="11.140625" style="64" customWidth="1"/>
    <col min="5904" max="5905" width="0" style="64" hidden="1" customWidth="1"/>
    <col min="5906" max="5906" width="8.85546875" style="64" bestFit="1" customWidth="1"/>
    <col min="5907" max="6144" width="11.42578125" style="64"/>
    <col min="6145" max="6145" width="5.28515625" style="64" customWidth="1"/>
    <col min="6146" max="6146" width="25.42578125" style="64" customWidth="1"/>
    <col min="6147" max="6147" width="13" style="64" customWidth="1"/>
    <col min="6148" max="6148" width="9.5703125" style="64" customWidth="1"/>
    <col min="6149" max="6149" width="12" style="64" customWidth="1"/>
    <col min="6150" max="6150" width="12.28515625" style="64" customWidth="1"/>
    <col min="6151" max="6151" width="11.28515625" style="64" customWidth="1"/>
    <col min="6152" max="6152" width="10.85546875" style="64" customWidth="1"/>
    <col min="6153" max="6153" width="11.5703125" style="64" customWidth="1"/>
    <col min="6154" max="6154" width="12.5703125" style="64" customWidth="1"/>
    <col min="6155" max="6155" width="12.28515625" style="64" customWidth="1"/>
    <col min="6156" max="6156" width="12.140625" style="64" customWidth="1"/>
    <col min="6157" max="6157" width="0" style="64" hidden="1" customWidth="1"/>
    <col min="6158" max="6158" width="11.28515625" style="64" customWidth="1"/>
    <col min="6159" max="6159" width="11.140625" style="64" customWidth="1"/>
    <col min="6160" max="6161" width="0" style="64" hidden="1" customWidth="1"/>
    <col min="6162" max="6162" width="8.85546875" style="64" bestFit="1" customWidth="1"/>
    <col min="6163" max="6400" width="11.42578125" style="64"/>
    <col min="6401" max="6401" width="5.28515625" style="64" customWidth="1"/>
    <col min="6402" max="6402" width="25.42578125" style="64" customWidth="1"/>
    <col min="6403" max="6403" width="13" style="64" customWidth="1"/>
    <col min="6404" max="6404" width="9.5703125" style="64" customWidth="1"/>
    <col min="6405" max="6405" width="12" style="64" customWidth="1"/>
    <col min="6406" max="6406" width="12.28515625" style="64" customWidth="1"/>
    <col min="6407" max="6407" width="11.28515625" style="64" customWidth="1"/>
    <col min="6408" max="6408" width="10.85546875" style="64" customWidth="1"/>
    <col min="6409" max="6409" width="11.5703125" style="64" customWidth="1"/>
    <col min="6410" max="6410" width="12.5703125" style="64" customWidth="1"/>
    <col min="6411" max="6411" width="12.28515625" style="64" customWidth="1"/>
    <col min="6412" max="6412" width="12.140625" style="64" customWidth="1"/>
    <col min="6413" max="6413" width="0" style="64" hidden="1" customWidth="1"/>
    <col min="6414" max="6414" width="11.28515625" style="64" customWidth="1"/>
    <col min="6415" max="6415" width="11.140625" style="64" customWidth="1"/>
    <col min="6416" max="6417" width="0" style="64" hidden="1" customWidth="1"/>
    <col min="6418" max="6418" width="8.85546875" style="64" bestFit="1" customWidth="1"/>
    <col min="6419" max="6656" width="11.42578125" style="64"/>
    <col min="6657" max="6657" width="5.28515625" style="64" customWidth="1"/>
    <col min="6658" max="6658" width="25.42578125" style="64" customWidth="1"/>
    <col min="6659" max="6659" width="13" style="64" customWidth="1"/>
    <col min="6660" max="6660" width="9.5703125" style="64" customWidth="1"/>
    <col min="6661" max="6661" width="12" style="64" customWidth="1"/>
    <col min="6662" max="6662" width="12.28515625" style="64" customWidth="1"/>
    <col min="6663" max="6663" width="11.28515625" style="64" customWidth="1"/>
    <col min="6664" max="6664" width="10.85546875" style="64" customWidth="1"/>
    <col min="6665" max="6665" width="11.5703125" style="64" customWidth="1"/>
    <col min="6666" max="6666" width="12.5703125" style="64" customWidth="1"/>
    <col min="6667" max="6667" width="12.28515625" style="64" customWidth="1"/>
    <col min="6668" max="6668" width="12.140625" style="64" customWidth="1"/>
    <col min="6669" max="6669" width="0" style="64" hidden="1" customWidth="1"/>
    <col min="6670" max="6670" width="11.28515625" style="64" customWidth="1"/>
    <col min="6671" max="6671" width="11.140625" style="64" customWidth="1"/>
    <col min="6672" max="6673" width="0" style="64" hidden="1" customWidth="1"/>
    <col min="6674" max="6674" width="8.85546875" style="64" bestFit="1" customWidth="1"/>
    <col min="6675" max="6912" width="11.42578125" style="64"/>
    <col min="6913" max="6913" width="5.28515625" style="64" customWidth="1"/>
    <col min="6914" max="6914" width="25.42578125" style="64" customWidth="1"/>
    <col min="6915" max="6915" width="13" style="64" customWidth="1"/>
    <col min="6916" max="6916" width="9.5703125" style="64" customWidth="1"/>
    <col min="6917" max="6917" width="12" style="64" customWidth="1"/>
    <col min="6918" max="6918" width="12.28515625" style="64" customWidth="1"/>
    <col min="6919" max="6919" width="11.28515625" style="64" customWidth="1"/>
    <col min="6920" max="6920" width="10.85546875" style="64" customWidth="1"/>
    <col min="6921" max="6921" width="11.5703125" style="64" customWidth="1"/>
    <col min="6922" max="6922" width="12.5703125" style="64" customWidth="1"/>
    <col min="6923" max="6923" width="12.28515625" style="64" customWidth="1"/>
    <col min="6924" max="6924" width="12.140625" style="64" customWidth="1"/>
    <col min="6925" max="6925" width="0" style="64" hidden="1" customWidth="1"/>
    <col min="6926" max="6926" width="11.28515625" style="64" customWidth="1"/>
    <col min="6927" max="6927" width="11.140625" style="64" customWidth="1"/>
    <col min="6928" max="6929" width="0" style="64" hidden="1" customWidth="1"/>
    <col min="6930" max="6930" width="8.85546875" style="64" bestFit="1" customWidth="1"/>
    <col min="6931" max="7168" width="11.42578125" style="64"/>
    <col min="7169" max="7169" width="5.28515625" style="64" customWidth="1"/>
    <col min="7170" max="7170" width="25.42578125" style="64" customWidth="1"/>
    <col min="7171" max="7171" width="13" style="64" customWidth="1"/>
    <col min="7172" max="7172" width="9.5703125" style="64" customWidth="1"/>
    <col min="7173" max="7173" width="12" style="64" customWidth="1"/>
    <col min="7174" max="7174" width="12.28515625" style="64" customWidth="1"/>
    <col min="7175" max="7175" width="11.28515625" style="64" customWidth="1"/>
    <col min="7176" max="7176" width="10.85546875" style="64" customWidth="1"/>
    <col min="7177" max="7177" width="11.5703125" style="64" customWidth="1"/>
    <col min="7178" max="7178" width="12.5703125" style="64" customWidth="1"/>
    <col min="7179" max="7179" width="12.28515625" style="64" customWidth="1"/>
    <col min="7180" max="7180" width="12.140625" style="64" customWidth="1"/>
    <col min="7181" max="7181" width="0" style="64" hidden="1" customWidth="1"/>
    <col min="7182" max="7182" width="11.28515625" style="64" customWidth="1"/>
    <col min="7183" max="7183" width="11.140625" style="64" customWidth="1"/>
    <col min="7184" max="7185" width="0" style="64" hidden="1" customWidth="1"/>
    <col min="7186" max="7186" width="8.85546875" style="64" bestFit="1" customWidth="1"/>
    <col min="7187" max="7424" width="11.42578125" style="64"/>
    <col min="7425" max="7425" width="5.28515625" style="64" customWidth="1"/>
    <col min="7426" max="7426" width="25.42578125" style="64" customWidth="1"/>
    <col min="7427" max="7427" width="13" style="64" customWidth="1"/>
    <col min="7428" max="7428" width="9.5703125" style="64" customWidth="1"/>
    <col min="7429" max="7429" width="12" style="64" customWidth="1"/>
    <col min="7430" max="7430" width="12.28515625" style="64" customWidth="1"/>
    <col min="7431" max="7431" width="11.28515625" style="64" customWidth="1"/>
    <col min="7432" max="7432" width="10.85546875" style="64" customWidth="1"/>
    <col min="7433" max="7433" width="11.5703125" style="64" customWidth="1"/>
    <col min="7434" max="7434" width="12.5703125" style="64" customWidth="1"/>
    <col min="7435" max="7435" width="12.28515625" style="64" customWidth="1"/>
    <col min="7436" max="7436" width="12.140625" style="64" customWidth="1"/>
    <col min="7437" max="7437" width="0" style="64" hidden="1" customWidth="1"/>
    <col min="7438" max="7438" width="11.28515625" style="64" customWidth="1"/>
    <col min="7439" max="7439" width="11.140625" style="64" customWidth="1"/>
    <col min="7440" max="7441" width="0" style="64" hidden="1" customWidth="1"/>
    <col min="7442" max="7442" width="8.85546875" style="64" bestFit="1" customWidth="1"/>
    <col min="7443" max="7680" width="11.42578125" style="64"/>
    <col min="7681" max="7681" width="5.28515625" style="64" customWidth="1"/>
    <col min="7682" max="7682" width="25.42578125" style="64" customWidth="1"/>
    <col min="7683" max="7683" width="13" style="64" customWidth="1"/>
    <col min="7684" max="7684" width="9.5703125" style="64" customWidth="1"/>
    <col min="7685" max="7685" width="12" style="64" customWidth="1"/>
    <col min="7686" max="7686" width="12.28515625" style="64" customWidth="1"/>
    <col min="7687" max="7687" width="11.28515625" style="64" customWidth="1"/>
    <col min="7688" max="7688" width="10.85546875" style="64" customWidth="1"/>
    <col min="7689" max="7689" width="11.5703125" style="64" customWidth="1"/>
    <col min="7690" max="7690" width="12.5703125" style="64" customWidth="1"/>
    <col min="7691" max="7691" width="12.28515625" style="64" customWidth="1"/>
    <col min="7692" max="7692" width="12.140625" style="64" customWidth="1"/>
    <col min="7693" max="7693" width="0" style="64" hidden="1" customWidth="1"/>
    <col min="7694" max="7694" width="11.28515625" style="64" customWidth="1"/>
    <col min="7695" max="7695" width="11.140625" style="64" customWidth="1"/>
    <col min="7696" max="7697" width="0" style="64" hidden="1" customWidth="1"/>
    <col min="7698" max="7698" width="8.85546875" style="64" bestFit="1" customWidth="1"/>
    <col min="7699" max="7936" width="11.42578125" style="64"/>
    <col min="7937" max="7937" width="5.28515625" style="64" customWidth="1"/>
    <col min="7938" max="7938" width="25.42578125" style="64" customWidth="1"/>
    <col min="7939" max="7939" width="13" style="64" customWidth="1"/>
    <col min="7940" max="7940" width="9.5703125" style="64" customWidth="1"/>
    <col min="7941" max="7941" width="12" style="64" customWidth="1"/>
    <col min="7942" max="7942" width="12.28515625" style="64" customWidth="1"/>
    <col min="7943" max="7943" width="11.28515625" style="64" customWidth="1"/>
    <col min="7944" max="7944" width="10.85546875" style="64" customWidth="1"/>
    <col min="7945" max="7945" width="11.5703125" style="64" customWidth="1"/>
    <col min="7946" max="7946" width="12.5703125" style="64" customWidth="1"/>
    <col min="7947" max="7947" width="12.28515625" style="64" customWidth="1"/>
    <col min="7948" max="7948" width="12.140625" style="64" customWidth="1"/>
    <col min="7949" max="7949" width="0" style="64" hidden="1" customWidth="1"/>
    <col min="7950" max="7950" width="11.28515625" style="64" customWidth="1"/>
    <col min="7951" max="7951" width="11.140625" style="64" customWidth="1"/>
    <col min="7952" max="7953" width="0" style="64" hidden="1" customWidth="1"/>
    <col min="7954" max="7954" width="8.85546875" style="64" bestFit="1" customWidth="1"/>
    <col min="7955" max="8192" width="11.42578125" style="64"/>
    <col min="8193" max="8193" width="5.28515625" style="64" customWidth="1"/>
    <col min="8194" max="8194" width="25.42578125" style="64" customWidth="1"/>
    <col min="8195" max="8195" width="13" style="64" customWidth="1"/>
    <col min="8196" max="8196" width="9.5703125" style="64" customWidth="1"/>
    <col min="8197" max="8197" width="12" style="64" customWidth="1"/>
    <col min="8198" max="8198" width="12.28515625" style="64" customWidth="1"/>
    <col min="8199" max="8199" width="11.28515625" style="64" customWidth="1"/>
    <col min="8200" max="8200" width="10.85546875" style="64" customWidth="1"/>
    <col min="8201" max="8201" width="11.5703125" style="64" customWidth="1"/>
    <col min="8202" max="8202" width="12.5703125" style="64" customWidth="1"/>
    <col min="8203" max="8203" width="12.28515625" style="64" customWidth="1"/>
    <col min="8204" max="8204" width="12.140625" style="64" customWidth="1"/>
    <col min="8205" max="8205" width="0" style="64" hidden="1" customWidth="1"/>
    <col min="8206" max="8206" width="11.28515625" style="64" customWidth="1"/>
    <col min="8207" max="8207" width="11.140625" style="64" customWidth="1"/>
    <col min="8208" max="8209" width="0" style="64" hidden="1" customWidth="1"/>
    <col min="8210" max="8210" width="8.85546875" style="64" bestFit="1" customWidth="1"/>
    <col min="8211" max="8448" width="11.42578125" style="64"/>
    <col min="8449" max="8449" width="5.28515625" style="64" customWidth="1"/>
    <col min="8450" max="8450" width="25.42578125" style="64" customWidth="1"/>
    <col min="8451" max="8451" width="13" style="64" customWidth="1"/>
    <col min="8452" max="8452" width="9.5703125" style="64" customWidth="1"/>
    <col min="8453" max="8453" width="12" style="64" customWidth="1"/>
    <col min="8454" max="8454" width="12.28515625" style="64" customWidth="1"/>
    <col min="8455" max="8455" width="11.28515625" style="64" customWidth="1"/>
    <col min="8456" max="8456" width="10.85546875" style="64" customWidth="1"/>
    <col min="8457" max="8457" width="11.5703125" style="64" customWidth="1"/>
    <col min="8458" max="8458" width="12.5703125" style="64" customWidth="1"/>
    <col min="8459" max="8459" width="12.28515625" style="64" customWidth="1"/>
    <col min="8460" max="8460" width="12.140625" style="64" customWidth="1"/>
    <col min="8461" max="8461" width="0" style="64" hidden="1" customWidth="1"/>
    <col min="8462" max="8462" width="11.28515625" style="64" customWidth="1"/>
    <col min="8463" max="8463" width="11.140625" style="64" customWidth="1"/>
    <col min="8464" max="8465" width="0" style="64" hidden="1" customWidth="1"/>
    <col min="8466" max="8466" width="8.85546875" style="64" bestFit="1" customWidth="1"/>
    <col min="8467" max="8704" width="11.42578125" style="64"/>
    <col min="8705" max="8705" width="5.28515625" style="64" customWidth="1"/>
    <col min="8706" max="8706" width="25.42578125" style="64" customWidth="1"/>
    <col min="8707" max="8707" width="13" style="64" customWidth="1"/>
    <col min="8708" max="8708" width="9.5703125" style="64" customWidth="1"/>
    <col min="8709" max="8709" width="12" style="64" customWidth="1"/>
    <col min="8710" max="8710" width="12.28515625" style="64" customWidth="1"/>
    <col min="8711" max="8711" width="11.28515625" style="64" customWidth="1"/>
    <col min="8712" max="8712" width="10.85546875" style="64" customWidth="1"/>
    <col min="8713" max="8713" width="11.5703125" style="64" customWidth="1"/>
    <col min="8714" max="8714" width="12.5703125" style="64" customWidth="1"/>
    <col min="8715" max="8715" width="12.28515625" style="64" customWidth="1"/>
    <col min="8716" max="8716" width="12.140625" style="64" customWidth="1"/>
    <col min="8717" max="8717" width="0" style="64" hidden="1" customWidth="1"/>
    <col min="8718" max="8718" width="11.28515625" style="64" customWidth="1"/>
    <col min="8719" max="8719" width="11.140625" style="64" customWidth="1"/>
    <col min="8720" max="8721" width="0" style="64" hidden="1" customWidth="1"/>
    <col min="8722" max="8722" width="8.85546875" style="64" bestFit="1" customWidth="1"/>
    <col min="8723" max="8960" width="11.42578125" style="64"/>
    <col min="8961" max="8961" width="5.28515625" style="64" customWidth="1"/>
    <col min="8962" max="8962" width="25.42578125" style="64" customWidth="1"/>
    <col min="8963" max="8963" width="13" style="64" customWidth="1"/>
    <col min="8964" max="8964" width="9.5703125" style="64" customWidth="1"/>
    <col min="8965" max="8965" width="12" style="64" customWidth="1"/>
    <col min="8966" max="8966" width="12.28515625" style="64" customWidth="1"/>
    <col min="8967" max="8967" width="11.28515625" style="64" customWidth="1"/>
    <col min="8968" max="8968" width="10.85546875" style="64" customWidth="1"/>
    <col min="8969" max="8969" width="11.5703125" style="64" customWidth="1"/>
    <col min="8970" max="8970" width="12.5703125" style="64" customWidth="1"/>
    <col min="8971" max="8971" width="12.28515625" style="64" customWidth="1"/>
    <col min="8972" max="8972" width="12.140625" style="64" customWidth="1"/>
    <col min="8973" max="8973" width="0" style="64" hidden="1" customWidth="1"/>
    <col min="8974" max="8974" width="11.28515625" style="64" customWidth="1"/>
    <col min="8975" max="8975" width="11.140625" style="64" customWidth="1"/>
    <col min="8976" max="8977" width="0" style="64" hidden="1" customWidth="1"/>
    <col min="8978" max="8978" width="8.85546875" style="64" bestFit="1" customWidth="1"/>
    <col min="8979" max="9216" width="11.42578125" style="64"/>
    <col min="9217" max="9217" width="5.28515625" style="64" customWidth="1"/>
    <col min="9218" max="9218" width="25.42578125" style="64" customWidth="1"/>
    <col min="9219" max="9219" width="13" style="64" customWidth="1"/>
    <col min="9220" max="9220" width="9.5703125" style="64" customWidth="1"/>
    <col min="9221" max="9221" width="12" style="64" customWidth="1"/>
    <col min="9222" max="9222" width="12.28515625" style="64" customWidth="1"/>
    <col min="9223" max="9223" width="11.28515625" style="64" customWidth="1"/>
    <col min="9224" max="9224" width="10.85546875" style="64" customWidth="1"/>
    <col min="9225" max="9225" width="11.5703125" style="64" customWidth="1"/>
    <col min="9226" max="9226" width="12.5703125" style="64" customWidth="1"/>
    <col min="9227" max="9227" width="12.28515625" style="64" customWidth="1"/>
    <col min="9228" max="9228" width="12.140625" style="64" customWidth="1"/>
    <col min="9229" max="9229" width="0" style="64" hidden="1" customWidth="1"/>
    <col min="9230" max="9230" width="11.28515625" style="64" customWidth="1"/>
    <col min="9231" max="9231" width="11.140625" style="64" customWidth="1"/>
    <col min="9232" max="9233" width="0" style="64" hidden="1" customWidth="1"/>
    <col min="9234" max="9234" width="8.85546875" style="64" bestFit="1" customWidth="1"/>
    <col min="9235" max="9472" width="11.42578125" style="64"/>
    <col min="9473" max="9473" width="5.28515625" style="64" customWidth="1"/>
    <col min="9474" max="9474" width="25.42578125" style="64" customWidth="1"/>
    <col min="9475" max="9475" width="13" style="64" customWidth="1"/>
    <col min="9476" max="9476" width="9.5703125" style="64" customWidth="1"/>
    <col min="9477" max="9477" width="12" style="64" customWidth="1"/>
    <col min="9478" max="9478" width="12.28515625" style="64" customWidth="1"/>
    <col min="9479" max="9479" width="11.28515625" style="64" customWidth="1"/>
    <col min="9480" max="9480" width="10.85546875" style="64" customWidth="1"/>
    <col min="9481" max="9481" width="11.5703125" style="64" customWidth="1"/>
    <col min="9482" max="9482" width="12.5703125" style="64" customWidth="1"/>
    <col min="9483" max="9483" width="12.28515625" style="64" customWidth="1"/>
    <col min="9484" max="9484" width="12.140625" style="64" customWidth="1"/>
    <col min="9485" max="9485" width="0" style="64" hidden="1" customWidth="1"/>
    <col min="9486" max="9486" width="11.28515625" style="64" customWidth="1"/>
    <col min="9487" max="9487" width="11.140625" style="64" customWidth="1"/>
    <col min="9488" max="9489" width="0" style="64" hidden="1" customWidth="1"/>
    <col min="9490" max="9490" width="8.85546875" style="64" bestFit="1" customWidth="1"/>
    <col min="9491" max="9728" width="11.42578125" style="64"/>
    <col min="9729" max="9729" width="5.28515625" style="64" customWidth="1"/>
    <col min="9730" max="9730" width="25.42578125" style="64" customWidth="1"/>
    <col min="9731" max="9731" width="13" style="64" customWidth="1"/>
    <col min="9732" max="9732" width="9.5703125" style="64" customWidth="1"/>
    <col min="9733" max="9733" width="12" style="64" customWidth="1"/>
    <col min="9734" max="9734" width="12.28515625" style="64" customWidth="1"/>
    <col min="9735" max="9735" width="11.28515625" style="64" customWidth="1"/>
    <col min="9736" max="9736" width="10.85546875" style="64" customWidth="1"/>
    <col min="9737" max="9737" width="11.5703125" style="64" customWidth="1"/>
    <col min="9738" max="9738" width="12.5703125" style="64" customWidth="1"/>
    <col min="9739" max="9739" width="12.28515625" style="64" customWidth="1"/>
    <col min="9740" max="9740" width="12.140625" style="64" customWidth="1"/>
    <col min="9741" max="9741" width="0" style="64" hidden="1" customWidth="1"/>
    <col min="9742" max="9742" width="11.28515625" style="64" customWidth="1"/>
    <col min="9743" max="9743" width="11.140625" style="64" customWidth="1"/>
    <col min="9744" max="9745" width="0" style="64" hidden="1" customWidth="1"/>
    <col min="9746" max="9746" width="8.85546875" style="64" bestFit="1" customWidth="1"/>
    <col min="9747" max="9984" width="11.42578125" style="64"/>
    <col min="9985" max="9985" width="5.28515625" style="64" customWidth="1"/>
    <col min="9986" max="9986" width="25.42578125" style="64" customWidth="1"/>
    <col min="9987" max="9987" width="13" style="64" customWidth="1"/>
    <col min="9988" max="9988" width="9.5703125" style="64" customWidth="1"/>
    <col min="9989" max="9989" width="12" style="64" customWidth="1"/>
    <col min="9990" max="9990" width="12.28515625" style="64" customWidth="1"/>
    <col min="9991" max="9991" width="11.28515625" style="64" customWidth="1"/>
    <col min="9992" max="9992" width="10.85546875" style="64" customWidth="1"/>
    <col min="9993" max="9993" width="11.5703125" style="64" customWidth="1"/>
    <col min="9994" max="9994" width="12.5703125" style="64" customWidth="1"/>
    <col min="9995" max="9995" width="12.28515625" style="64" customWidth="1"/>
    <col min="9996" max="9996" width="12.140625" style="64" customWidth="1"/>
    <col min="9997" max="9997" width="0" style="64" hidden="1" customWidth="1"/>
    <col min="9998" max="9998" width="11.28515625" style="64" customWidth="1"/>
    <col min="9999" max="9999" width="11.140625" style="64" customWidth="1"/>
    <col min="10000" max="10001" width="0" style="64" hidden="1" customWidth="1"/>
    <col min="10002" max="10002" width="8.85546875" style="64" bestFit="1" customWidth="1"/>
    <col min="10003" max="10240" width="11.42578125" style="64"/>
    <col min="10241" max="10241" width="5.28515625" style="64" customWidth="1"/>
    <col min="10242" max="10242" width="25.42578125" style="64" customWidth="1"/>
    <col min="10243" max="10243" width="13" style="64" customWidth="1"/>
    <col min="10244" max="10244" width="9.5703125" style="64" customWidth="1"/>
    <col min="10245" max="10245" width="12" style="64" customWidth="1"/>
    <col min="10246" max="10246" width="12.28515625" style="64" customWidth="1"/>
    <col min="10247" max="10247" width="11.28515625" style="64" customWidth="1"/>
    <col min="10248" max="10248" width="10.85546875" style="64" customWidth="1"/>
    <col min="10249" max="10249" width="11.5703125" style="64" customWidth="1"/>
    <col min="10250" max="10250" width="12.5703125" style="64" customWidth="1"/>
    <col min="10251" max="10251" width="12.28515625" style="64" customWidth="1"/>
    <col min="10252" max="10252" width="12.140625" style="64" customWidth="1"/>
    <col min="10253" max="10253" width="0" style="64" hidden="1" customWidth="1"/>
    <col min="10254" max="10254" width="11.28515625" style="64" customWidth="1"/>
    <col min="10255" max="10255" width="11.140625" style="64" customWidth="1"/>
    <col min="10256" max="10257" width="0" style="64" hidden="1" customWidth="1"/>
    <col min="10258" max="10258" width="8.85546875" style="64" bestFit="1" customWidth="1"/>
    <col min="10259" max="10496" width="11.42578125" style="64"/>
    <col min="10497" max="10497" width="5.28515625" style="64" customWidth="1"/>
    <col min="10498" max="10498" width="25.42578125" style="64" customWidth="1"/>
    <col min="10499" max="10499" width="13" style="64" customWidth="1"/>
    <col min="10500" max="10500" width="9.5703125" style="64" customWidth="1"/>
    <col min="10501" max="10501" width="12" style="64" customWidth="1"/>
    <col min="10502" max="10502" width="12.28515625" style="64" customWidth="1"/>
    <col min="10503" max="10503" width="11.28515625" style="64" customWidth="1"/>
    <col min="10504" max="10504" width="10.85546875" style="64" customWidth="1"/>
    <col min="10505" max="10505" width="11.5703125" style="64" customWidth="1"/>
    <col min="10506" max="10506" width="12.5703125" style="64" customWidth="1"/>
    <col min="10507" max="10507" width="12.28515625" style="64" customWidth="1"/>
    <col min="10508" max="10508" width="12.140625" style="64" customWidth="1"/>
    <col min="10509" max="10509" width="0" style="64" hidden="1" customWidth="1"/>
    <col min="10510" max="10510" width="11.28515625" style="64" customWidth="1"/>
    <col min="10511" max="10511" width="11.140625" style="64" customWidth="1"/>
    <col min="10512" max="10513" width="0" style="64" hidden="1" customWidth="1"/>
    <col min="10514" max="10514" width="8.85546875" style="64" bestFit="1" customWidth="1"/>
    <col min="10515" max="10752" width="11.42578125" style="64"/>
    <col min="10753" max="10753" width="5.28515625" style="64" customWidth="1"/>
    <col min="10754" max="10754" width="25.42578125" style="64" customWidth="1"/>
    <col min="10755" max="10755" width="13" style="64" customWidth="1"/>
    <col min="10756" max="10756" width="9.5703125" style="64" customWidth="1"/>
    <col min="10757" max="10757" width="12" style="64" customWidth="1"/>
    <col min="10758" max="10758" width="12.28515625" style="64" customWidth="1"/>
    <col min="10759" max="10759" width="11.28515625" style="64" customWidth="1"/>
    <col min="10760" max="10760" width="10.85546875" style="64" customWidth="1"/>
    <col min="10761" max="10761" width="11.5703125" style="64" customWidth="1"/>
    <col min="10762" max="10762" width="12.5703125" style="64" customWidth="1"/>
    <col min="10763" max="10763" width="12.28515625" style="64" customWidth="1"/>
    <col min="10764" max="10764" width="12.140625" style="64" customWidth="1"/>
    <col min="10765" max="10765" width="0" style="64" hidden="1" customWidth="1"/>
    <col min="10766" max="10766" width="11.28515625" style="64" customWidth="1"/>
    <col min="10767" max="10767" width="11.140625" style="64" customWidth="1"/>
    <col min="10768" max="10769" width="0" style="64" hidden="1" customWidth="1"/>
    <col min="10770" max="10770" width="8.85546875" style="64" bestFit="1" customWidth="1"/>
    <col min="10771" max="11008" width="11.42578125" style="64"/>
    <col min="11009" max="11009" width="5.28515625" style="64" customWidth="1"/>
    <col min="11010" max="11010" width="25.42578125" style="64" customWidth="1"/>
    <col min="11011" max="11011" width="13" style="64" customWidth="1"/>
    <col min="11012" max="11012" width="9.5703125" style="64" customWidth="1"/>
    <col min="11013" max="11013" width="12" style="64" customWidth="1"/>
    <col min="11014" max="11014" width="12.28515625" style="64" customWidth="1"/>
    <col min="11015" max="11015" width="11.28515625" style="64" customWidth="1"/>
    <col min="11016" max="11016" width="10.85546875" style="64" customWidth="1"/>
    <col min="11017" max="11017" width="11.5703125" style="64" customWidth="1"/>
    <col min="11018" max="11018" width="12.5703125" style="64" customWidth="1"/>
    <col min="11019" max="11019" width="12.28515625" style="64" customWidth="1"/>
    <col min="11020" max="11020" width="12.140625" style="64" customWidth="1"/>
    <col min="11021" max="11021" width="0" style="64" hidden="1" customWidth="1"/>
    <col min="11022" max="11022" width="11.28515625" style="64" customWidth="1"/>
    <col min="11023" max="11023" width="11.140625" style="64" customWidth="1"/>
    <col min="11024" max="11025" width="0" style="64" hidden="1" customWidth="1"/>
    <col min="11026" max="11026" width="8.85546875" style="64" bestFit="1" customWidth="1"/>
    <col min="11027" max="11264" width="11.42578125" style="64"/>
    <col min="11265" max="11265" width="5.28515625" style="64" customWidth="1"/>
    <col min="11266" max="11266" width="25.42578125" style="64" customWidth="1"/>
    <col min="11267" max="11267" width="13" style="64" customWidth="1"/>
    <col min="11268" max="11268" width="9.5703125" style="64" customWidth="1"/>
    <col min="11269" max="11269" width="12" style="64" customWidth="1"/>
    <col min="11270" max="11270" width="12.28515625" style="64" customWidth="1"/>
    <col min="11271" max="11271" width="11.28515625" style="64" customWidth="1"/>
    <col min="11272" max="11272" width="10.85546875" style="64" customWidth="1"/>
    <col min="11273" max="11273" width="11.5703125" style="64" customWidth="1"/>
    <col min="11274" max="11274" width="12.5703125" style="64" customWidth="1"/>
    <col min="11275" max="11275" width="12.28515625" style="64" customWidth="1"/>
    <col min="11276" max="11276" width="12.140625" style="64" customWidth="1"/>
    <col min="11277" max="11277" width="0" style="64" hidden="1" customWidth="1"/>
    <col min="11278" max="11278" width="11.28515625" style="64" customWidth="1"/>
    <col min="11279" max="11279" width="11.140625" style="64" customWidth="1"/>
    <col min="11280" max="11281" width="0" style="64" hidden="1" customWidth="1"/>
    <col min="11282" max="11282" width="8.85546875" style="64" bestFit="1" customWidth="1"/>
    <col min="11283" max="11520" width="11.42578125" style="64"/>
    <col min="11521" max="11521" width="5.28515625" style="64" customWidth="1"/>
    <col min="11522" max="11522" width="25.42578125" style="64" customWidth="1"/>
    <col min="11523" max="11523" width="13" style="64" customWidth="1"/>
    <col min="11524" max="11524" width="9.5703125" style="64" customWidth="1"/>
    <col min="11525" max="11525" width="12" style="64" customWidth="1"/>
    <col min="11526" max="11526" width="12.28515625" style="64" customWidth="1"/>
    <col min="11527" max="11527" width="11.28515625" style="64" customWidth="1"/>
    <col min="11528" max="11528" width="10.85546875" style="64" customWidth="1"/>
    <col min="11529" max="11529" width="11.5703125" style="64" customWidth="1"/>
    <col min="11530" max="11530" width="12.5703125" style="64" customWidth="1"/>
    <col min="11531" max="11531" width="12.28515625" style="64" customWidth="1"/>
    <col min="11532" max="11532" width="12.140625" style="64" customWidth="1"/>
    <col min="11533" max="11533" width="0" style="64" hidden="1" customWidth="1"/>
    <col min="11534" max="11534" width="11.28515625" style="64" customWidth="1"/>
    <col min="11535" max="11535" width="11.140625" style="64" customWidth="1"/>
    <col min="11536" max="11537" width="0" style="64" hidden="1" customWidth="1"/>
    <col min="11538" max="11538" width="8.85546875" style="64" bestFit="1" customWidth="1"/>
    <col min="11539" max="11776" width="11.42578125" style="64"/>
    <col min="11777" max="11777" width="5.28515625" style="64" customWidth="1"/>
    <col min="11778" max="11778" width="25.42578125" style="64" customWidth="1"/>
    <col min="11779" max="11779" width="13" style="64" customWidth="1"/>
    <col min="11780" max="11780" width="9.5703125" style="64" customWidth="1"/>
    <col min="11781" max="11781" width="12" style="64" customWidth="1"/>
    <col min="11782" max="11782" width="12.28515625" style="64" customWidth="1"/>
    <col min="11783" max="11783" width="11.28515625" style="64" customWidth="1"/>
    <col min="11784" max="11784" width="10.85546875" style="64" customWidth="1"/>
    <col min="11785" max="11785" width="11.5703125" style="64" customWidth="1"/>
    <col min="11786" max="11786" width="12.5703125" style="64" customWidth="1"/>
    <col min="11787" max="11787" width="12.28515625" style="64" customWidth="1"/>
    <col min="11788" max="11788" width="12.140625" style="64" customWidth="1"/>
    <col min="11789" max="11789" width="0" style="64" hidden="1" customWidth="1"/>
    <col min="11790" max="11790" width="11.28515625" style="64" customWidth="1"/>
    <col min="11791" max="11791" width="11.140625" style="64" customWidth="1"/>
    <col min="11792" max="11793" width="0" style="64" hidden="1" customWidth="1"/>
    <col min="11794" max="11794" width="8.85546875" style="64" bestFit="1" customWidth="1"/>
    <col min="11795" max="12032" width="11.42578125" style="64"/>
    <col min="12033" max="12033" width="5.28515625" style="64" customWidth="1"/>
    <col min="12034" max="12034" width="25.42578125" style="64" customWidth="1"/>
    <col min="12035" max="12035" width="13" style="64" customWidth="1"/>
    <col min="12036" max="12036" width="9.5703125" style="64" customWidth="1"/>
    <col min="12037" max="12037" width="12" style="64" customWidth="1"/>
    <col min="12038" max="12038" width="12.28515625" style="64" customWidth="1"/>
    <col min="12039" max="12039" width="11.28515625" style="64" customWidth="1"/>
    <col min="12040" max="12040" width="10.85546875" style="64" customWidth="1"/>
    <col min="12041" max="12041" width="11.5703125" style="64" customWidth="1"/>
    <col min="12042" max="12042" width="12.5703125" style="64" customWidth="1"/>
    <col min="12043" max="12043" width="12.28515625" style="64" customWidth="1"/>
    <col min="12044" max="12044" width="12.140625" style="64" customWidth="1"/>
    <col min="12045" max="12045" width="0" style="64" hidden="1" customWidth="1"/>
    <col min="12046" max="12046" width="11.28515625" style="64" customWidth="1"/>
    <col min="12047" max="12047" width="11.140625" style="64" customWidth="1"/>
    <col min="12048" max="12049" width="0" style="64" hidden="1" customWidth="1"/>
    <col min="12050" max="12050" width="8.85546875" style="64" bestFit="1" customWidth="1"/>
    <col min="12051" max="12288" width="11.42578125" style="64"/>
    <col min="12289" max="12289" width="5.28515625" style="64" customWidth="1"/>
    <col min="12290" max="12290" width="25.42578125" style="64" customWidth="1"/>
    <col min="12291" max="12291" width="13" style="64" customWidth="1"/>
    <col min="12292" max="12292" width="9.5703125" style="64" customWidth="1"/>
    <col min="12293" max="12293" width="12" style="64" customWidth="1"/>
    <col min="12294" max="12294" width="12.28515625" style="64" customWidth="1"/>
    <col min="12295" max="12295" width="11.28515625" style="64" customWidth="1"/>
    <col min="12296" max="12296" width="10.85546875" style="64" customWidth="1"/>
    <col min="12297" max="12297" width="11.5703125" style="64" customWidth="1"/>
    <col min="12298" max="12298" width="12.5703125" style="64" customWidth="1"/>
    <col min="12299" max="12299" width="12.28515625" style="64" customWidth="1"/>
    <col min="12300" max="12300" width="12.140625" style="64" customWidth="1"/>
    <col min="12301" max="12301" width="0" style="64" hidden="1" customWidth="1"/>
    <col min="12302" max="12302" width="11.28515625" style="64" customWidth="1"/>
    <col min="12303" max="12303" width="11.140625" style="64" customWidth="1"/>
    <col min="12304" max="12305" width="0" style="64" hidden="1" customWidth="1"/>
    <col min="12306" max="12306" width="8.85546875" style="64" bestFit="1" customWidth="1"/>
    <col min="12307" max="12544" width="11.42578125" style="64"/>
    <col min="12545" max="12545" width="5.28515625" style="64" customWidth="1"/>
    <col min="12546" max="12546" width="25.42578125" style="64" customWidth="1"/>
    <col min="12547" max="12547" width="13" style="64" customWidth="1"/>
    <col min="12548" max="12548" width="9.5703125" style="64" customWidth="1"/>
    <col min="12549" max="12549" width="12" style="64" customWidth="1"/>
    <col min="12550" max="12550" width="12.28515625" style="64" customWidth="1"/>
    <col min="12551" max="12551" width="11.28515625" style="64" customWidth="1"/>
    <col min="12552" max="12552" width="10.85546875" style="64" customWidth="1"/>
    <col min="12553" max="12553" width="11.5703125" style="64" customWidth="1"/>
    <col min="12554" max="12554" width="12.5703125" style="64" customWidth="1"/>
    <col min="12555" max="12555" width="12.28515625" style="64" customWidth="1"/>
    <col min="12556" max="12556" width="12.140625" style="64" customWidth="1"/>
    <col min="12557" max="12557" width="0" style="64" hidden="1" customWidth="1"/>
    <col min="12558" max="12558" width="11.28515625" style="64" customWidth="1"/>
    <col min="12559" max="12559" width="11.140625" style="64" customWidth="1"/>
    <col min="12560" max="12561" width="0" style="64" hidden="1" customWidth="1"/>
    <col min="12562" max="12562" width="8.85546875" style="64" bestFit="1" customWidth="1"/>
    <col min="12563" max="12800" width="11.42578125" style="64"/>
    <col min="12801" max="12801" width="5.28515625" style="64" customWidth="1"/>
    <col min="12802" max="12802" width="25.42578125" style="64" customWidth="1"/>
    <col min="12803" max="12803" width="13" style="64" customWidth="1"/>
    <col min="12804" max="12804" width="9.5703125" style="64" customWidth="1"/>
    <col min="12805" max="12805" width="12" style="64" customWidth="1"/>
    <col min="12806" max="12806" width="12.28515625" style="64" customWidth="1"/>
    <col min="12807" max="12807" width="11.28515625" style="64" customWidth="1"/>
    <col min="12808" max="12808" width="10.85546875" style="64" customWidth="1"/>
    <col min="12809" max="12809" width="11.5703125" style="64" customWidth="1"/>
    <col min="12810" max="12810" width="12.5703125" style="64" customWidth="1"/>
    <col min="12811" max="12811" width="12.28515625" style="64" customWidth="1"/>
    <col min="12812" max="12812" width="12.140625" style="64" customWidth="1"/>
    <col min="12813" max="12813" width="0" style="64" hidden="1" customWidth="1"/>
    <col min="12814" max="12814" width="11.28515625" style="64" customWidth="1"/>
    <col min="12815" max="12815" width="11.140625" style="64" customWidth="1"/>
    <col min="12816" max="12817" width="0" style="64" hidden="1" customWidth="1"/>
    <col min="12818" max="12818" width="8.85546875" style="64" bestFit="1" customWidth="1"/>
    <col min="12819" max="13056" width="11.42578125" style="64"/>
    <col min="13057" max="13057" width="5.28515625" style="64" customWidth="1"/>
    <col min="13058" max="13058" width="25.42578125" style="64" customWidth="1"/>
    <col min="13059" max="13059" width="13" style="64" customWidth="1"/>
    <col min="13060" max="13060" width="9.5703125" style="64" customWidth="1"/>
    <col min="13061" max="13061" width="12" style="64" customWidth="1"/>
    <col min="13062" max="13062" width="12.28515625" style="64" customWidth="1"/>
    <col min="13063" max="13063" width="11.28515625" style="64" customWidth="1"/>
    <col min="13064" max="13064" width="10.85546875" style="64" customWidth="1"/>
    <col min="13065" max="13065" width="11.5703125" style="64" customWidth="1"/>
    <col min="13066" max="13066" width="12.5703125" style="64" customWidth="1"/>
    <col min="13067" max="13067" width="12.28515625" style="64" customWidth="1"/>
    <col min="13068" max="13068" width="12.140625" style="64" customWidth="1"/>
    <col min="13069" max="13069" width="0" style="64" hidden="1" customWidth="1"/>
    <col min="13070" max="13070" width="11.28515625" style="64" customWidth="1"/>
    <col min="13071" max="13071" width="11.140625" style="64" customWidth="1"/>
    <col min="13072" max="13073" width="0" style="64" hidden="1" customWidth="1"/>
    <col min="13074" max="13074" width="8.85546875" style="64" bestFit="1" customWidth="1"/>
    <col min="13075" max="13312" width="11.42578125" style="64"/>
    <col min="13313" max="13313" width="5.28515625" style="64" customWidth="1"/>
    <col min="13314" max="13314" width="25.42578125" style="64" customWidth="1"/>
    <col min="13315" max="13315" width="13" style="64" customWidth="1"/>
    <col min="13316" max="13316" width="9.5703125" style="64" customWidth="1"/>
    <col min="13317" max="13317" width="12" style="64" customWidth="1"/>
    <col min="13318" max="13318" width="12.28515625" style="64" customWidth="1"/>
    <col min="13319" max="13319" width="11.28515625" style="64" customWidth="1"/>
    <col min="13320" max="13320" width="10.85546875" style="64" customWidth="1"/>
    <col min="13321" max="13321" width="11.5703125" style="64" customWidth="1"/>
    <col min="13322" max="13322" width="12.5703125" style="64" customWidth="1"/>
    <col min="13323" max="13323" width="12.28515625" style="64" customWidth="1"/>
    <col min="13324" max="13324" width="12.140625" style="64" customWidth="1"/>
    <col min="13325" max="13325" width="0" style="64" hidden="1" customWidth="1"/>
    <col min="13326" max="13326" width="11.28515625" style="64" customWidth="1"/>
    <col min="13327" max="13327" width="11.140625" style="64" customWidth="1"/>
    <col min="13328" max="13329" width="0" style="64" hidden="1" customWidth="1"/>
    <col min="13330" max="13330" width="8.85546875" style="64" bestFit="1" customWidth="1"/>
    <col min="13331" max="13568" width="11.42578125" style="64"/>
    <col min="13569" max="13569" width="5.28515625" style="64" customWidth="1"/>
    <col min="13570" max="13570" width="25.42578125" style="64" customWidth="1"/>
    <col min="13571" max="13571" width="13" style="64" customWidth="1"/>
    <col min="13572" max="13572" width="9.5703125" style="64" customWidth="1"/>
    <col min="13573" max="13573" width="12" style="64" customWidth="1"/>
    <col min="13574" max="13574" width="12.28515625" style="64" customWidth="1"/>
    <col min="13575" max="13575" width="11.28515625" style="64" customWidth="1"/>
    <col min="13576" max="13576" width="10.85546875" style="64" customWidth="1"/>
    <col min="13577" max="13577" width="11.5703125" style="64" customWidth="1"/>
    <col min="13578" max="13578" width="12.5703125" style="64" customWidth="1"/>
    <col min="13579" max="13579" width="12.28515625" style="64" customWidth="1"/>
    <col min="13580" max="13580" width="12.140625" style="64" customWidth="1"/>
    <col min="13581" max="13581" width="0" style="64" hidden="1" customWidth="1"/>
    <col min="13582" max="13582" width="11.28515625" style="64" customWidth="1"/>
    <col min="13583" max="13583" width="11.140625" style="64" customWidth="1"/>
    <col min="13584" max="13585" width="0" style="64" hidden="1" customWidth="1"/>
    <col min="13586" max="13586" width="8.85546875" style="64" bestFit="1" customWidth="1"/>
    <col min="13587" max="13824" width="11.42578125" style="64"/>
    <col min="13825" max="13825" width="5.28515625" style="64" customWidth="1"/>
    <col min="13826" max="13826" width="25.42578125" style="64" customWidth="1"/>
    <col min="13827" max="13827" width="13" style="64" customWidth="1"/>
    <col min="13828" max="13828" width="9.5703125" style="64" customWidth="1"/>
    <col min="13829" max="13829" width="12" style="64" customWidth="1"/>
    <col min="13830" max="13830" width="12.28515625" style="64" customWidth="1"/>
    <col min="13831" max="13831" width="11.28515625" style="64" customWidth="1"/>
    <col min="13832" max="13832" width="10.85546875" style="64" customWidth="1"/>
    <col min="13833" max="13833" width="11.5703125" style="64" customWidth="1"/>
    <col min="13834" max="13834" width="12.5703125" style="64" customWidth="1"/>
    <col min="13835" max="13835" width="12.28515625" style="64" customWidth="1"/>
    <col min="13836" max="13836" width="12.140625" style="64" customWidth="1"/>
    <col min="13837" max="13837" width="0" style="64" hidden="1" customWidth="1"/>
    <col min="13838" max="13838" width="11.28515625" style="64" customWidth="1"/>
    <col min="13839" max="13839" width="11.140625" style="64" customWidth="1"/>
    <col min="13840" max="13841" width="0" style="64" hidden="1" customWidth="1"/>
    <col min="13842" max="13842" width="8.85546875" style="64" bestFit="1" customWidth="1"/>
    <col min="13843" max="14080" width="11.42578125" style="64"/>
    <col min="14081" max="14081" width="5.28515625" style="64" customWidth="1"/>
    <col min="14082" max="14082" width="25.42578125" style="64" customWidth="1"/>
    <col min="14083" max="14083" width="13" style="64" customWidth="1"/>
    <col min="14084" max="14084" width="9.5703125" style="64" customWidth="1"/>
    <col min="14085" max="14085" width="12" style="64" customWidth="1"/>
    <col min="14086" max="14086" width="12.28515625" style="64" customWidth="1"/>
    <col min="14087" max="14087" width="11.28515625" style="64" customWidth="1"/>
    <col min="14088" max="14088" width="10.85546875" style="64" customWidth="1"/>
    <col min="14089" max="14089" width="11.5703125" style="64" customWidth="1"/>
    <col min="14090" max="14090" width="12.5703125" style="64" customWidth="1"/>
    <col min="14091" max="14091" width="12.28515625" style="64" customWidth="1"/>
    <col min="14092" max="14092" width="12.140625" style="64" customWidth="1"/>
    <col min="14093" max="14093" width="0" style="64" hidden="1" customWidth="1"/>
    <col min="14094" max="14094" width="11.28515625" style="64" customWidth="1"/>
    <col min="14095" max="14095" width="11.140625" style="64" customWidth="1"/>
    <col min="14096" max="14097" width="0" style="64" hidden="1" customWidth="1"/>
    <col min="14098" max="14098" width="8.85546875" style="64" bestFit="1" customWidth="1"/>
    <col min="14099" max="14336" width="11.42578125" style="64"/>
    <col min="14337" max="14337" width="5.28515625" style="64" customWidth="1"/>
    <col min="14338" max="14338" width="25.42578125" style="64" customWidth="1"/>
    <col min="14339" max="14339" width="13" style="64" customWidth="1"/>
    <col min="14340" max="14340" width="9.5703125" style="64" customWidth="1"/>
    <col min="14341" max="14341" width="12" style="64" customWidth="1"/>
    <col min="14342" max="14342" width="12.28515625" style="64" customWidth="1"/>
    <col min="14343" max="14343" width="11.28515625" style="64" customWidth="1"/>
    <col min="14344" max="14344" width="10.85546875" style="64" customWidth="1"/>
    <col min="14345" max="14345" width="11.5703125" style="64" customWidth="1"/>
    <col min="14346" max="14346" width="12.5703125" style="64" customWidth="1"/>
    <col min="14347" max="14347" width="12.28515625" style="64" customWidth="1"/>
    <col min="14348" max="14348" width="12.140625" style="64" customWidth="1"/>
    <col min="14349" max="14349" width="0" style="64" hidden="1" customWidth="1"/>
    <col min="14350" max="14350" width="11.28515625" style="64" customWidth="1"/>
    <col min="14351" max="14351" width="11.140625" style="64" customWidth="1"/>
    <col min="14352" max="14353" width="0" style="64" hidden="1" customWidth="1"/>
    <col min="14354" max="14354" width="8.85546875" style="64" bestFit="1" customWidth="1"/>
    <col min="14355" max="14592" width="11.42578125" style="64"/>
    <col min="14593" max="14593" width="5.28515625" style="64" customWidth="1"/>
    <col min="14594" max="14594" width="25.42578125" style="64" customWidth="1"/>
    <col min="14595" max="14595" width="13" style="64" customWidth="1"/>
    <col min="14596" max="14596" width="9.5703125" style="64" customWidth="1"/>
    <col min="14597" max="14597" width="12" style="64" customWidth="1"/>
    <col min="14598" max="14598" width="12.28515625" style="64" customWidth="1"/>
    <col min="14599" max="14599" width="11.28515625" style="64" customWidth="1"/>
    <col min="14600" max="14600" width="10.85546875" style="64" customWidth="1"/>
    <col min="14601" max="14601" width="11.5703125" style="64" customWidth="1"/>
    <col min="14602" max="14602" width="12.5703125" style="64" customWidth="1"/>
    <col min="14603" max="14603" width="12.28515625" style="64" customWidth="1"/>
    <col min="14604" max="14604" width="12.140625" style="64" customWidth="1"/>
    <col min="14605" max="14605" width="0" style="64" hidden="1" customWidth="1"/>
    <col min="14606" max="14606" width="11.28515625" style="64" customWidth="1"/>
    <col min="14607" max="14607" width="11.140625" style="64" customWidth="1"/>
    <col min="14608" max="14609" width="0" style="64" hidden="1" customWidth="1"/>
    <col min="14610" max="14610" width="8.85546875" style="64" bestFit="1" customWidth="1"/>
    <col min="14611" max="14848" width="11.42578125" style="64"/>
    <col min="14849" max="14849" width="5.28515625" style="64" customWidth="1"/>
    <col min="14850" max="14850" width="25.42578125" style="64" customWidth="1"/>
    <col min="14851" max="14851" width="13" style="64" customWidth="1"/>
    <col min="14852" max="14852" width="9.5703125" style="64" customWidth="1"/>
    <col min="14853" max="14853" width="12" style="64" customWidth="1"/>
    <col min="14854" max="14854" width="12.28515625" style="64" customWidth="1"/>
    <col min="14855" max="14855" width="11.28515625" style="64" customWidth="1"/>
    <col min="14856" max="14856" width="10.85546875" style="64" customWidth="1"/>
    <col min="14857" max="14857" width="11.5703125" style="64" customWidth="1"/>
    <col min="14858" max="14858" width="12.5703125" style="64" customWidth="1"/>
    <col min="14859" max="14859" width="12.28515625" style="64" customWidth="1"/>
    <col min="14860" max="14860" width="12.140625" style="64" customWidth="1"/>
    <col min="14861" max="14861" width="0" style="64" hidden="1" customWidth="1"/>
    <col min="14862" max="14862" width="11.28515625" style="64" customWidth="1"/>
    <col min="14863" max="14863" width="11.140625" style="64" customWidth="1"/>
    <col min="14864" max="14865" width="0" style="64" hidden="1" customWidth="1"/>
    <col min="14866" max="14866" width="8.85546875" style="64" bestFit="1" customWidth="1"/>
    <col min="14867" max="15104" width="11.42578125" style="64"/>
    <col min="15105" max="15105" width="5.28515625" style="64" customWidth="1"/>
    <col min="15106" max="15106" width="25.42578125" style="64" customWidth="1"/>
    <col min="15107" max="15107" width="13" style="64" customWidth="1"/>
    <col min="15108" max="15108" width="9.5703125" style="64" customWidth="1"/>
    <col min="15109" max="15109" width="12" style="64" customWidth="1"/>
    <col min="15110" max="15110" width="12.28515625" style="64" customWidth="1"/>
    <col min="15111" max="15111" width="11.28515625" style="64" customWidth="1"/>
    <col min="15112" max="15112" width="10.85546875" style="64" customWidth="1"/>
    <col min="15113" max="15113" width="11.5703125" style="64" customWidth="1"/>
    <col min="15114" max="15114" width="12.5703125" style="64" customWidth="1"/>
    <col min="15115" max="15115" width="12.28515625" style="64" customWidth="1"/>
    <col min="15116" max="15116" width="12.140625" style="64" customWidth="1"/>
    <col min="15117" max="15117" width="0" style="64" hidden="1" customWidth="1"/>
    <col min="15118" max="15118" width="11.28515625" style="64" customWidth="1"/>
    <col min="15119" max="15119" width="11.140625" style="64" customWidth="1"/>
    <col min="15120" max="15121" width="0" style="64" hidden="1" customWidth="1"/>
    <col min="15122" max="15122" width="8.85546875" style="64" bestFit="1" customWidth="1"/>
    <col min="15123" max="15360" width="11.42578125" style="64"/>
    <col min="15361" max="15361" width="5.28515625" style="64" customWidth="1"/>
    <col min="15362" max="15362" width="25.42578125" style="64" customWidth="1"/>
    <col min="15363" max="15363" width="13" style="64" customWidth="1"/>
    <col min="15364" max="15364" width="9.5703125" style="64" customWidth="1"/>
    <col min="15365" max="15365" width="12" style="64" customWidth="1"/>
    <col min="15366" max="15366" width="12.28515625" style="64" customWidth="1"/>
    <col min="15367" max="15367" width="11.28515625" style="64" customWidth="1"/>
    <col min="15368" max="15368" width="10.85546875" style="64" customWidth="1"/>
    <col min="15369" max="15369" width="11.5703125" style="64" customWidth="1"/>
    <col min="15370" max="15370" width="12.5703125" style="64" customWidth="1"/>
    <col min="15371" max="15371" width="12.28515625" style="64" customWidth="1"/>
    <col min="15372" max="15372" width="12.140625" style="64" customWidth="1"/>
    <col min="15373" max="15373" width="0" style="64" hidden="1" customWidth="1"/>
    <col min="15374" max="15374" width="11.28515625" style="64" customWidth="1"/>
    <col min="15375" max="15375" width="11.140625" style="64" customWidth="1"/>
    <col min="15376" max="15377" width="0" style="64" hidden="1" customWidth="1"/>
    <col min="15378" max="15378" width="8.85546875" style="64" bestFit="1" customWidth="1"/>
    <col min="15379" max="15616" width="11.42578125" style="64"/>
    <col min="15617" max="15617" width="5.28515625" style="64" customWidth="1"/>
    <col min="15618" max="15618" width="25.42578125" style="64" customWidth="1"/>
    <col min="15619" max="15619" width="13" style="64" customWidth="1"/>
    <col min="15620" max="15620" width="9.5703125" style="64" customWidth="1"/>
    <col min="15621" max="15621" width="12" style="64" customWidth="1"/>
    <col min="15622" max="15622" width="12.28515625" style="64" customWidth="1"/>
    <col min="15623" max="15623" width="11.28515625" style="64" customWidth="1"/>
    <col min="15624" max="15624" width="10.85546875" style="64" customWidth="1"/>
    <col min="15625" max="15625" width="11.5703125" style="64" customWidth="1"/>
    <col min="15626" max="15626" width="12.5703125" style="64" customWidth="1"/>
    <col min="15627" max="15627" width="12.28515625" style="64" customWidth="1"/>
    <col min="15628" max="15628" width="12.140625" style="64" customWidth="1"/>
    <col min="15629" max="15629" width="0" style="64" hidden="1" customWidth="1"/>
    <col min="15630" max="15630" width="11.28515625" style="64" customWidth="1"/>
    <col min="15631" max="15631" width="11.140625" style="64" customWidth="1"/>
    <col min="15632" max="15633" width="0" style="64" hidden="1" customWidth="1"/>
    <col min="15634" max="15634" width="8.85546875" style="64" bestFit="1" customWidth="1"/>
    <col min="15635" max="15872" width="11.42578125" style="64"/>
    <col min="15873" max="15873" width="5.28515625" style="64" customWidth="1"/>
    <col min="15874" max="15874" width="25.42578125" style="64" customWidth="1"/>
    <col min="15875" max="15875" width="13" style="64" customWidth="1"/>
    <col min="15876" max="15876" width="9.5703125" style="64" customWidth="1"/>
    <col min="15877" max="15877" width="12" style="64" customWidth="1"/>
    <col min="15878" max="15878" width="12.28515625" style="64" customWidth="1"/>
    <col min="15879" max="15879" width="11.28515625" style="64" customWidth="1"/>
    <col min="15880" max="15880" width="10.85546875" style="64" customWidth="1"/>
    <col min="15881" max="15881" width="11.5703125" style="64" customWidth="1"/>
    <col min="15882" max="15882" width="12.5703125" style="64" customWidth="1"/>
    <col min="15883" max="15883" width="12.28515625" style="64" customWidth="1"/>
    <col min="15884" max="15884" width="12.140625" style="64" customWidth="1"/>
    <col min="15885" max="15885" width="0" style="64" hidden="1" customWidth="1"/>
    <col min="15886" max="15886" width="11.28515625" style="64" customWidth="1"/>
    <col min="15887" max="15887" width="11.140625" style="64" customWidth="1"/>
    <col min="15888" max="15889" width="0" style="64" hidden="1" customWidth="1"/>
    <col min="15890" max="15890" width="8.85546875" style="64" bestFit="1" customWidth="1"/>
    <col min="15891" max="16128" width="11.42578125" style="64"/>
    <col min="16129" max="16129" width="5.28515625" style="64" customWidth="1"/>
    <col min="16130" max="16130" width="25.42578125" style="64" customWidth="1"/>
    <col min="16131" max="16131" width="13" style="64" customWidth="1"/>
    <col min="16132" max="16132" width="9.5703125" style="64" customWidth="1"/>
    <col min="16133" max="16133" width="12" style="64" customWidth="1"/>
    <col min="16134" max="16134" width="12.28515625" style="64" customWidth="1"/>
    <col min="16135" max="16135" width="11.28515625" style="64" customWidth="1"/>
    <col min="16136" max="16136" width="10.85546875" style="64" customWidth="1"/>
    <col min="16137" max="16137" width="11.5703125" style="64" customWidth="1"/>
    <col min="16138" max="16138" width="12.5703125" style="64" customWidth="1"/>
    <col min="16139" max="16139" width="12.28515625" style="64" customWidth="1"/>
    <col min="16140" max="16140" width="12.140625" style="64" customWidth="1"/>
    <col min="16141" max="16141" width="0" style="64" hidden="1" customWidth="1"/>
    <col min="16142" max="16142" width="11.28515625" style="64" customWidth="1"/>
    <col min="16143" max="16143" width="11.140625" style="64" customWidth="1"/>
    <col min="16144" max="16145" width="0" style="64" hidden="1" customWidth="1"/>
    <col min="16146" max="16146" width="8.85546875" style="64" bestFit="1" customWidth="1"/>
    <col min="16147" max="16384" width="11.42578125" style="64"/>
  </cols>
  <sheetData>
    <row r="1" spans="1:18" s="62" customFormat="1" ht="29.45" customHeight="1" x14ac:dyDescent="0.25">
      <c r="A1" s="223" t="s">
        <v>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8" s="62" customFormat="1" ht="21" customHeight="1" x14ac:dyDescent="0.25">
      <c r="A2" s="224" t="s">
        <v>81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8" s="62" customFormat="1" ht="21" customHeight="1" x14ac:dyDescent="0.25">
      <c r="A3" s="224" t="s">
        <v>22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18" s="62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8" ht="19.5" customHeight="1" x14ac:dyDescent="0.25">
      <c r="A5" s="225" t="s">
        <v>23</v>
      </c>
      <c r="B5" s="228" t="s">
        <v>24</v>
      </c>
      <c r="C5" s="228" t="s">
        <v>25</v>
      </c>
      <c r="D5" s="231" t="s">
        <v>26</v>
      </c>
      <c r="E5" s="232"/>
      <c r="F5" s="232"/>
      <c r="G5" s="232"/>
      <c r="H5" s="233"/>
      <c r="I5" s="231" t="s">
        <v>70</v>
      </c>
      <c r="J5" s="232"/>
      <c r="K5" s="232"/>
      <c r="L5" s="232"/>
      <c r="M5" s="232"/>
      <c r="N5" s="232"/>
      <c r="O5" s="232"/>
      <c r="P5" s="232"/>
      <c r="Q5" s="232"/>
      <c r="R5" s="233"/>
    </row>
    <row r="6" spans="1:18" ht="20.25" customHeight="1" x14ac:dyDescent="0.25">
      <c r="A6" s="226"/>
      <c r="B6" s="229"/>
      <c r="C6" s="229"/>
      <c r="D6" s="228" t="s">
        <v>71</v>
      </c>
      <c r="E6" s="228" t="s">
        <v>28</v>
      </c>
      <c r="F6" s="228" t="s">
        <v>29</v>
      </c>
      <c r="G6" s="216" t="s">
        <v>30</v>
      </c>
      <c r="H6" s="216"/>
      <c r="I6" s="216" t="s">
        <v>31</v>
      </c>
      <c r="J6" s="216" t="s">
        <v>32</v>
      </c>
      <c r="K6" s="216" t="s">
        <v>33</v>
      </c>
      <c r="L6" s="216" t="s">
        <v>34</v>
      </c>
      <c r="M6" s="228" t="s">
        <v>35</v>
      </c>
      <c r="N6" s="228" t="s">
        <v>36</v>
      </c>
      <c r="O6" s="216" t="s">
        <v>37</v>
      </c>
      <c r="P6" s="216" t="s">
        <v>38</v>
      </c>
      <c r="Q6" s="216"/>
      <c r="R6" s="216" t="s">
        <v>39</v>
      </c>
    </row>
    <row r="7" spans="1:18" ht="21.75" customHeight="1" x14ac:dyDescent="0.25">
      <c r="A7" s="227"/>
      <c r="B7" s="230"/>
      <c r="C7" s="230"/>
      <c r="D7" s="230"/>
      <c r="E7" s="230"/>
      <c r="F7" s="230"/>
      <c r="G7" s="25" t="s">
        <v>40</v>
      </c>
      <c r="H7" s="25" t="s">
        <v>0</v>
      </c>
      <c r="I7" s="216"/>
      <c r="J7" s="216"/>
      <c r="K7" s="216"/>
      <c r="L7" s="216"/>
      <c r="M7" s="230"/>
      <c r="N7" s="230"/>
      <c r="O7" s="216"/>
      <c r="P7" s="25" t="s">
        <v>41</v>
      </c>
      <c r="Q7" s="25" t="s">
        <v>0</v>
      </c>
      <c r="R7" s="216"/>
    </row>
    <row r="8" spans="1:18" s="67" customFormat="1" ht="38.25" customHeight="1" x14ac:dyDescent="0.25">
      <c r="A8" s="26">
        <v>1</v>
      </c>
      <c r="B8" s="27" t="s">
        <v>72</v>
      </c>
      <c r="C8" s="65" t="s">
        <v>88</v>
      </c>
      <c r="D8" s="29">
        <v>80</v>
      </c>
      <c r="E8" s="72">
        <v>2</v>
      </c>
      <c r="F8" s="72">
        <v>2</v>
      </c>
      <c r="G8" s="54">
        <f t="shared" ref="G8:G18" si="0">F8-E8</f>
        <v>0</v>
      </c>
      <c r="H8" s="55">
        <f t="shared" ref="H8:H18" si="1">(F8/E8)-1</f>
        <v>0</v>
      </c>
      <c r="I8" s="56"/>
      <c r="J8" s="56"/>
      <c r="K8" s="56"/>
      <c r="L8" s="56"/>
      <c r="M8" s="56"/>
      <c r="N8" s="56"/>
      <c r="O8" s="73">
        <v>17394</v>
      </c>
      <c r="P8" s="56">
        <f t="shared" ref="P8:P18" si="2">N8-O8</f>
        <v>-17394</v>
      </c>
      <c r="Q8" s="66">
        <f t="shared" ref="Q8:Q18" si="3">(M8/O8)-1</f>
        <v>-1</v>
      </c>
      <c r="R8" s="30" t="s">
        <v>6</v>
      </c>
    </row>
    <row r="9" spans="1:18" ht="38.25" customHeight="1" x14ac:dyDescent="0.25">
      <c r="A9" s="26">
        <f t="shared" ref="A9:A18" si="4">1+A8</f>
        <v>2</v>
      </c>
      <c r="B9" s="27" t="s">
        <v>48</v>
      </c>
      <c r="C9" s="68" t="s">
        <v>73</v>
      </c>
      <c r="D9" s="29">
        <v>3</v>
      </c>
      <c r="E9" s="72">
        <v>1</v>
      </c>
      <c r="F9" s="72">
        <v>1</v>
      </c>
      <c r="G9" s="54">
        <f t="shared" si="0"/>
        <v>0</v>
      </c>
      <c r="H9" s="55">
        <f t="shared" si="1"/>
        <v>0</v>
      </c>
      <c r="I9" s="56"/>
      <c r="J9" s="56"/>
      <c r="K9" s="56"/>
      <c r="L9" s="56"/>
      <c r="M9" s="56"/>
      <c r="N9" s="56"/>
      <c r="O9" s="73">
        <v>52878</v>
      </c>
      <c r="P9" s="56">
        <f t="shared" si="2"/>
        <v>-52878</v>
      </c>
      <c r="Q9" s="66">
        <f t="shared" si="3"/>
        <v>-1</v>
      </c>
      <c r="R9" s="30" t="s">
        <v>8</v>
      </c>
    </row>
    <row r="10" spans="1:18" s="67" customFormat="1" ht="38.25" customHeight="1" x14ac:dyDescent="0.25">
      <c r="A10" s="26">
        <f t="shared" si="4"/>
        <v>3</v>
      </c>
      <c r="B10" s="27" t="s">
        <v>74</v>
      </c>
      <c r="C10" s="65" t="s">
        <v>73</v>
      </c>
      <c r="D10" s="29">
        <v>1</v>
      </c>
      <c r="E10" s="72">
        <v>0</v>
      </c>
      <c r="F10" s="72">
        <v>0</v>
      </c>
      <c r="G10" s="54">
        <f t="shared" si="0"/>
        <v>0</v>
      </c>
      <c r="H10" s="55">
        <v>0</v>
      </c>
      <c r="I10" s="56"/>
      <c r="J10" s="56"/>
      <c r="K10" s="56"/>
      <c r="L10" s="56"/>
      <c r="M10" s="56"/>
      <c r="N10" s="56"/>
      <c r="O10" s="73">
        <v>0</v>
      </c>
      <c r="P10" s="56">
        <f t="shared" si="2"/>
        <v>0</v>
      </c>
      <c r="Q10" s="66">
        <v>0</v>
      </c>
      <c r="R10" s="30" t="s">
        <v>9</v>
      </c>
    </row>
    <row r="11" spans="1:18" s="67" customFormat="1" ht="38.25" customHeight="1" x14ac:dyDescent="0.25">
      <c r="A11" s="26">
        <f t="shared" si="4"/>
        <v>4</v>
      </c>
      <c r="B11" s="27" t="s">
        <v>55</v>
      </c>
      <c r="C11" s="68" t="s">
        <v>101</v>
      </c>
      <c r="D11" s="29">
        <v>30</v>
      </c>
      <c r="E11" s="72">
        <v>5</v>
      </c>
      <c r="F11" s="72">
        <v>5</v>
      </c>
      <c r="G11" s="54">
        <f t="shared" si="0"/>
        <v>0</v>
      </c>
      <c r="H11" s="55">
        <f t="shared" si="1"/>
        <v>0</v>
      </c>
      <c r="I11" s="56"/>
      <c r="J11" s="56"/>
      <c r="K11" s="56"/>
      <c r="L11" s="56"/>
      <c r="M11" s="56"/>
      <c r="N11" s="56"/>
      <c r="O11" s="73">
        <v>17803</v>
      </c>
      <c r="P11" s="56">
        <f t="shared" si="2"/>
        <v>-17803</v>
      </c>
      <c r="Q11" s="66">
        <f t="shared" si="3"/>
        <v>-1</v>
      </c>
      <c r="R11" s="30" t="s">
        <v>12</v>
      </c>
    </row>
    <row r="12" spans="1:18" s="67" customFormat="1" ht="38.25" customHeight="1" x14ac:dyDescent="0.25">
      <c r="A12" s="26">
        <f t="shared" si="4"/>
        <v>5</v>
      </c>
      <c r="B12" s="27" t="s">
        <v>78</v>
      </c>
      <c r="C12" s="68" t="s">
        <v>95</v>
      </c>
      <c r="D12" s="29">
        <v>1</v>
      </c>
      <c r="E12" s="83">
        <v>0.24</v>
      </c>
      <c r="F12" s="83">
        <v>0.24</v>
      </c>
      <c r="G12" s="54">
        <f>F12-E12</f>
        <v>0</v>
      </c>
      <c r="H12" s="55">
        <f>(F12/E12)-1</f>
        <v>0</v>
      </c>
      <c r="I12" s="56"/>
      <c r="J12" s="56"/>
      <c r="K12" s="56"/>
      <c r="L12" s="56"/>
      <c r="M12" s="56"/>
      <c r="N12" s="56"/>
      <c r="O12" s="73">
        <v>48762</v>
      </c>
      <c r="P12" s="56">
        <f>N12-O12</f>
        <v>-48762</v>
      </c>
      <c r="Q12" s="66"/>
      <c r="R12" s="30" t="s">
        <v>21</v>
      </c>
    </row>
    <row r="13" spans="1:18" ht="38.25" customHeight="1" x14ac:dyDescent="0.25">
      <c r="A13" s="26">
        <f t="shared" si="4"/>
        <v>6</v>
      </c>
      <c r="B13" s="27" t="s">
        <v>77</v>
      </c>
      <c r="C13" s="68" t="s">
        <v>100</v>
      </c>
      <c r="D13" s="29">
        <f>57+6</f>
        <v>63</v>
      </c>
      <c r="E13" s="72">
        <v>15</v>
      </c>
      <c r="F13" s="72">
        <v>15</v>
      </c>
      <c r="G13" s="54">
        <f>F13-E13</f>
        <v>0</v>
      </c>
      <c r="H13" s="55">
        <f>(F13/E13)-1</f>
        <v>0</v>
      </c>
      <c r="I13" s="56"/>
      <c r="J13" s="56"/>
      <c r="K13" s="56"/>
      <c r="L13" s="56"/>
      <c r="M13" s="56"/>
      <c r="N13" s="56"/>
      <c r="O13" s="73">
        <v>161454</v>
      </c>
      <c r="P13" s="56">
        <f>N13-O13</f>
        <v>-161454</v>
      </c>
      <c r="Q13" s="66">
        <f>(M13/O13)-1</f>
        <v>-1</v>
      </c>
      <c r="R13" s="30" t="s">
        <v>20</v>
      </c>
    </row>
    <row r="14" spans="1:18" ht="38.25" customHeight="1" x14ac:dyDescent="0.25">
      <c r="A14" s="26">
        <f t="shared" si="4"/>
        <v>7</v>
      </c>
      <c r="B14" s="27" t="s">
        <v>85</v>
      </c>
      <c r="C14" s="68" t="s">
        <v>96</v>
      </c>
      <c r="D14" s="29">
        <v>1</v>
      </c>
      <c r="E14" s="72">
        <v>0</v>
      </c>
      <c r="F14" s="72">
        <v>0</v>
      </c>
      <c r="G14" s="54">
        <f>F14-E14</f>
        <v>0</v>
      </c>
      <c r="H14" s="55" t="e">
        <f>(F14/E14)-1</f>
        <v>#DIV/0!</v>
      </c>
      <c r="I14" s="56"/>
      <c r="J14" s="56"/>
      <c r="K14" s="56"/>
      <c r="L14" s="56"/>
      <c r="M14" s="56"/>
      <c r="N14" s="56"/>
      <c r="O14" s="73">
        <v>0</v>
      </c>
      <c r="P14" s="56">
        <f>N14-O14</f>
        <v>0</v>
      </c>
      <c r="Q14" s="66" t="e">
        <f>(M14/O14)-1</f>
        <v>#DIV/0!</v>
      </c>
      <c r="R14" s="30" t="s">
        <v>20</v>
      </c>
    </row>
    <row r="15" spans="1:18" s="67" customFormat="1" ht="38.25" customHeight="1" x14ac:dyDescent="0.25">
      <c r="A15" s="26">
        <f t="shared" si="4"/>
        <v>8</v>
      </c>
      <c r="B15" s="27" t="s">
        <v>63</v>
      </c>
      <c r="C15" s="68" t="s">
        <v>93</v>
      </c>
      <c r="D15" s="29">
        <v>48</v>
      </c>
      <c r="E15" s="72">
        <v>7</v>
      </c>
      <c r="F15" s="72">
        <v>7</v>
      </c>
      <c r="G15" s="54">
        <f t="shared" si="0"/>
        <v>0</v>
      </c>
      <c r="H15" s="55">
        <f t="shared" si="1"/>
        <v>0</v>
      </c>
      <c r="I15" s="56"/>
      <c r="J15" s="56"/>
      <c r="K15" s="56"/>
      <c r="L15" s="56"/>
      <c r="M15" s="56"/>
      <c r="N15" s="56"/>
      <c r="O15" s="73">
        <v>11227</v>
      </c>
      <c r="P15" s="56">
        <f t="shared" si="2"/>
        <v>-11227</v>
      </c>
      <c r="Q15" s="66">
        <f t="shared" si="3"/>
        <v>-1</v>
      </c>
      <c r="R15" s="30" t="s">
        <v>17</v>
      </c>
    </row>
    <row r="16" spans="1:18" s="67" customFormat="1" ht="38.25" customHeight="1" x14ac:dyDescent="0.25">
      <c r="A16" s="26">
        <f t="shared" si="4"/>
        <v>9</v>
      </c>
      <c r="B16" s="36" t="s">
        <v>75</v>
      </c>
      <c r="C16" s="29" t="s">
        <v>76</v>
      </c>
      <c r="D16" s="29">
        <v>1</v>
      </c>
      <c r="E16" s="72">
        <v>0.125</v>
      </c>
      <c r="F16" s="72">
        <v>0.125</v>
      </c>
      <c r="G16" s="54">
        <f t="shared" ref="G16:G17" si="5">F16-E16</f>
        <v>0</v>
      </c>
      <c r="H16" s="55">
        <f t="shared" ref="H16:H17" si="6">(F16/E16)-1</f>
        <v>0</v>
      </c>
      <c r="I16" s="56"/>
      <c r="J16" s="56"/>
      <c r="K16" s="56"/>
      <c r="L16" s="56"/>
      <c r="M16" s="56"/>
      <c r="N16" s="56"/>
      <c r="O16" s="73">
        <v>713252</v>
      </c>
      <c r="P16" s="56">
        <f t="shared" ref="P16:P17" si="7">N16-O16</f>
        <v>-713252</v>
      </c>
      <c r="Q16" s="66">
        <f t="shared" ref="Q16:Q17" si="8">(M16/O16)-1</f>
        <v>-1</v>
      </c>
      <c r="R16" s="30" t="s">
        <v>19</v>
      </c>
    </row>
    <row r="17" spans="1:18" s="67" customFormat="1" ht="38.25" customHeight="1" x14ac:dyDescent="0.25">
      <c r="A17" s="26">
        <f t="shared" si="4"/>
        <v>10</v>
      </c>
      <c r="B17" s="36" t="s">
        <v>59</v>
      </c>
      <c r="C17" s="29" t="s">
        <v>102</v>
      </c>
      <c r="D17" s="29">
        <v>5</v>
      </c>
      <c r="E17" s="72">
        <v>0</v>
      </c>
      <c r="F17" s="72">
        <v>0</v>
      </c>
      <c r="G17" s="54">
        <f t="shared" si="5"/>
        <v>0</v>
      </c>
      <c r="H17" s="55" t="e">
        <f t="shared" si="6"/>
        <v>#DIV/0!</v>
      </c>
      <c r="I17" s="56"/>
      <c r="J17" s="56"/>
      <c r="K17" s="56"/>
      <c r="L17" s="56"/>
      <c r="M17" s="56"/>
      <c r="N17" s="56"/>
      <c r="O17" s="73"/>
      <c r="P17" s="56">
        <f t="shared" si="7"/>
        <v>0</v>
      </c>
      <c r="Q17" s="66" t="e">
        <f t="shared" si="8"/>
        <v>#DIV/0!</v>
      </c>
      <c r="R17" s="30" t="s">
        <v>19</v>
      </c>
    </row>
    <row r="18" spans="1:18" s="67" customFormat="1" ht="38.25" customHeight="1" x14ac:dyDescent="0.25">
      <c r="A18" s="26">
        <f t="shared" si="4"/>
        <v>11</v>
      </c>
      <c r="B18" s="36" t="s">
        <v>64</v>
      </c>
      <c r="C18" s="29" t="s">
        <v>103</v>
      </c>
      <c r="D18" s="29">
        <v>1</v>
      </c>
      <c r="E18" s="72">
        <v>1</v>
      </c>
      <c r="F18" s="72">
        <v>1</v>
      </c>
      <c r="G18" s="54">
        <f t="shared" si="0"/>
        <v>0</v>
      </c>
      <c r="H18" s="55">
        <f t="shared" si="1"/>
        <v>0</v>
      </c>
      <c r="I18" s="56"/>
      <c r="J18" s="56"/>
      <c r="K18" s="56"/>
      <c r="L18" s="56"/>
      <c r="M18" s="56"/>
      <c r="N18" s="56"/>
      <c r="O18" s="73"/>
      <c r="P18" s="56">
        <f t="shared" si="2"/>
        <v>0</v>
      </c>
      <c r="Q18" s="66" t="e">
        <f t="shared" si="3"/>
        <v>#DIV/0!</v>
      </c>
      <c r="R18" s="30" t="s">
        <v>19</v>
      </c>
    </row>
    <row r="19" spans="1:18" ht="38.25" customHeight="1" x14ac:dyDescent="0.25">
      <c r="A19" s="283" t="s">
        <v>1</v>
      </c>
      <c r="B19" s="284"/>
      <c r="C19" s="285"/>
      <c r="D19" s="38">
        <f>SUM(D8:D18)</f>
        <v>234</v>
      </c>
      <c r="E19" s="38">
        <f>SUM(E8:E18)</f>
        <v>31.365000000000002</v>
      </c>
      <c r="F19" s="38">
        <f>SUM(F8:F18)</f>
        <v>31.365000000000002</v>
      </c>
      <c r="G19" s="38">
        <f>SUM(G8:G18)</f>
        <v>0</v>
      </c>
      <c r="H19" s="69">
        <f>(F19/E19)-1</f>
        <v>0</v>
      </c>
      <c r="I19" s="41">
        <f t="shared" ref="I19:N19" si="9">SUM(I8:I18)</f>
        <v>0</v>
      </c>
      <c r="J19" s="41">
        <f t="shared" si="9"/>
        <v>0</v>
      </c>
      <c r="K19" s="41">
        <f t="shared" si="9"/>
        <v>0</v>
      </c>
      <c r="L19" s="41">
        <f t="shared" si="9"/>
        <v>0</v>
      </c>
      <c r="M19" s="41">
        <f t="shared" si="9"/>
        <v>0</v>
      </c>
      <c r="N19" s="41">
        <f t="shared" si="9"/>
        <v>0</v>
      </c>
      <c r="O19" s="42">
        <f>SUM(O8:O18)-1</f>
        <v>1022769</v>
      </c>
      <c r="P19" s="41">
        <f>SUM(P8:P18)</f>
        <v>-1022770</v>
      </c>
      <c r="Q19" s="43">
        <f>(M19/O19)-1</f>
        <v>-1</v>
      </c>
      <c r="R19" s="41"/>
    </row>
    <row r="21" spans="1:18" ht="9" customHeight="1" x14ac:dyDescent="0.25">
      <c r="R21" s="71"/>
    </row>
    <row r="22" spans="1:18" s="24" customFormat="1" ht="28.5" customHeight="1" x14ac:dyDescent="0.2">
      <c r="A22" s="239"/>
      <c r="B22" s="240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</row>
  </sheetData>
  <mergeCells count="23">
    <mergeCell ref="A1:Q1"/>
    <mergeCell ref="A2:Q2"/>
    <mergeCell ref="A3:Q3"/>
    <mergeCell ref="A5:A7"/>
    <mergeCell ref="B5:B7"/>
    <mergeCell ref="C5:C7"/>
    <mergeCell ref="D5:H5"/>
    <mergeCell ref="I5:R5"/>
    <mergeCell ref="D6:D7"/>
    <mergeCell ref="E6:E7"/>
    <mergeCell ref="A22:R22"/>
    <mergeCell ref="M6:M7"/>
    <mergeCell ref="N6:N7"/>
    <mergeCell ref="O6:O7"/>
    <mergeCell ref="P6:Q6"/>
    <mergeCell ref="R6:R7"/>
    <mergeCell ref="A19:C19"/>
    <mergeCell ref="F6:F7"/>
    <mergeCell ref="G6:H6"/>
    <mergeCell ref="I6:I7"/>
    <mergeCell ref="J6:J7"/>
    <mergeCell ref="K6:K7"/>
    <mergeCell ref="L6:L7"/>
  </mergeCells>
  <pageMargins left="0.98425196850393704" right="0.31496062992125984" top="1.1811023622047245" bottom="0.23622047244094491" header="0.19685039370078741" footer="0.15748031496062992"/>
  <pageSetup scale="6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17"/>
  <sheetViews>
    <sheetView zoomScale="90" zoomScaleNormal="90" workbookViewId="0">
      <selection activeCell="I11" sqref="I11"/>
    </sheetView>
  </sheetViews>
  <sheetFormatPr baseColWidth="10" defaultRowHeight="12.75" x14ac:dyDescent="0.25"/>
  <cols>
    <col min="1" max="1" width="5.28515625" style="70" customWidth="1"/>
    <col min="2" max="2" width="25.42578125" style="70" customWidth="1"/>
    <col min="3" max="3" width="16.85546875" style="70" customWidth="1"/>
    <col min="4" max="4" width="9.5703125" style="70" customWidth="1"/>
    <col min="5" max="5" width="12" style="70" customWidth="1"/>
    <col min="6" max="6" width="12.28515625" style="70" customWidth="1"/>
    <col min="7" max="7" width="11.28515625" style="70" customWidth="1"/>
    <col min="8" max="8" width="10.85546875" style="70" customWidth="1"/>
    <col min="9" max="9" width="11.5703125" style="70" customWidth="1"/>
    <col min="10" max="10" width="12.5703125" style="70" customWidth="1"/>
    <col min="11" max="11" width="12.28515625" style="70" customWidth="1"/>
    <col min="12" max="12" width="12.140625" style="70" customWidth="1"/>
    <col min="13" max="13" width="14.140625" style="70" hidden="1" customWidth="1"/>
    <col min="14" max="14" width="11.28515625" style="70" customWidth="1"/>
    <col min="15" max="15" width="11.140625" style="70" customWidth="1"/>
    <col min="16" max="16" width="9.85546875" style="70" hidden="1" customWidth="1"/>
    <col min="17" max="17" width="9.7109375" style="70" hidden="1" customWidth="1"/>
    <col min="18" max="18" width="8.85546875" style="64" bestFit="1" customWidth="1"/>
    <col min="19" max="256" width="11.42578125" style="64"/>
    <col min="257" max="257" width="5.28515625" style="64" customWidth="1"/>
    <col min="258" max="258" width="25.42578125" style="64" customWidth="1"/>
    <col min="259" max="259" width="13" style="64" customWidth="1"/>
    <col min="260" max="260" width="9.5703125" style="64" customWidth="1"/>
    <col min="261" max="261" width="12" style="64" customWidth="1"/>
    <col min="262" max="262" width="12.28515625" style="64" customWidth="1"/>
    <col min="263" max="263" width="11.28515625" style="64" customWidth="1"/>
    <col min="264" max="264" width="10.85546875" style="64" customWidth="1"/>
    <col min="265" max="265" width="11.5703125" style="64" customWidth="1"/>
    <col min="266" max="266" width="12.5703125" style="64" customWidth="1"/>
    <col min="267" max="267" width="12.28515625" style="64" customWidth="1"/>
    <col min="268" max="268" width="12.140625" style="64" customWidth="1"/>
    <col min="269" max="269" width="0" style="64" hidden="1" customWidth="1"/>
    <col min="270" max="270" width="11.28515625" style="64" customWidth="1"/>
    <col min="271" max="271" width="11.140625" style="64" customWidth="1"/>
    <col min="272" max="273" width="0" style="64" hidden="1" customWidth="1"/>
    <col min="274" max="274" width="8.85546875" style="64" bestFit="1" customWidth="1"/>
    <col min="275" max="512" width="11.42578125" style="64"/>
    <col min="513" max="513" width="5.28515625" style="64" customWidth="1"/>
    <col min="514" max="514" width="25.42578125" style="64" customWidth="1"/>
    <col min="515" max="515" width="13" style="64" customWidth="1"/>
    <col min="516" max="516" width="9.5703125" style="64" customWidth="1"/>
    <col min="517" max="517" width="12" style="64" customWidth="1"/>
    <col min="518" max="518" width="12.28515625" style="64" customWidth="1"/>
    <col min="519" max="519" width="11.28515625" style="64" customWidth="1"/>
    <col min="520" max="520" width="10.85546875" style="64" customWidth="1"/>
    <col min="521" max="521" width="11.5703125" style="64" customWidth="1"/>
    <col min="522" max="522" width="12.5703125" style="64" customWidth="1"/>
    <col min="523" max="523" width="12.28515625" style="64" customWidth="1"/>
    <col min="524" max="524" width="12.140625" style="64" customWidth="1"/>
    <col min="525" max="525" width="0" style="64" hidden="1" customWidth="1"/>
    <col min="526" max="526" width="11.28515625" style="64" customWidth="1"/>
    <col min="527" max="527" width="11.140625" style="64" customWidth="1"/>
    <col min="528" max="529" width="0" style="64" hidden="1" customWidth="1"/>
    <col min="530" max="530" width="8.85546875" style="64" bestFit="1" customWidth="1"/>
    <col min="531" max="768" width="11.42578125" style="64"/>
    <col min="769" max="769" width="5.28515625" style="64" customWidth="1"/>
    <col min="770" max="770" width="25.42578125" style="64" customWidth="1"/>
    <col min="771" max="771" width="13" style="64" customWidth="1"/>
    <col min="772" max="772" width="9.5703125" style="64" customWidth="1"/>
    <col min="773" max="773" width="12" style="64" customWidth="1"/>
    <col min="774" max="774" width="12.28515625" style="64" customWidth="1"/>
    <col min="775" max="775" width="11.28515625" style="64" customWidth="1"/>
    <col min="776" max="776" width="10.85546875" style="64" customWidth="1"/>
    <col min="777" max="777" width="11.5703125" style="64" customWidth="1"/>
    <col min="778" max="778" width="12.5703125" style="64" customWidth="1"/>
    <col min="779" max="779" width="12.28515625" style="64" customWidth="1"/>
    <col min="780" max="780" width="12.140625" style="64" customWidth="1"/>
    <col min="781" max="781" width="0" style="64" hidden="1" customWidth="1"/>
    <col min="782" max="782" width="11.28515625" style="64" customWidth="1"/>
    <col min="783" max="783" width="11.140625" style="64" customWidth="1"/>
    <col min="784" max="785" width="0" style="64" hidden="1" customWidth="1"/>
    <col min="786" max="786" width="8.85546875" style="64" bestFit="1" customWidth="1"/>
    <col min="787" max="1024" width="11.42578125" style="64"/>
    <col min="1025" max="1025" width="5.28515625" style="64" customWidth="1"/>
    <col min="1026" max="1026" width="25.42578125" style="64" customWidth="1"/>
    <col min="1027" max="1027" width="13" style="64" customWidth="1"/>
    <col min="1028" max="1028" width="9.5703125" style="64" customWidth="1"/>
    <col min="1029" max="1029" width="12" style="64" customWidth="1"/>
    <col min="1030" max="1030" width="12.28515625" style="64" customWidth="1"/>
    <col min="1031" max="1031" width="11.28515625" style="64" customWidth="1"/>
    <col min="1032" max="1032" width="10.85546875" style="64" customWidth="1"/>
    <col min="1033" max="1033" width="11.5703125" style="64" customWidth="1"/>
    <col min="1034" max="1034" width="12.5703125" style="64" customWidth="1"/>
    <col min="1035" max="1035" width="12.28515625" style="64" customWidth="1"/>
    <col min="1036" max="1036" width="12.140625" style="64" customWidth="1"/>
    <col min="1037" max="1037" width="0" style="64" hidden="1" customWidth="1"/>
    <col min="1038" max="1038" width="11.28515625" style="64" customWidth="1"/>
    <col min="1039" max="1039" width="11.140625" style="64" customWidth="1"/>
    <col min="1040" max="1041" width="0" style="64" hidden="1" customWidth="1"/>
    <col min="1042" max="1042" width="8.85546875" style="64" bestFit="1" customWidth="1"/>
    <col min="1043" max="1280" width="11.42578125" style="64"/>
    <col min="1281" max="1281" width="5.28515625" style="64" customWidth="1"/>
    <col min="1282" max="1282" width="25.42578125" style="64" customWidth="1"/>
    <col min="1283" max="1283" width="13" style="64" customWidth="1"/>
    <col min="1284" max="1284" width="9.5703125" style="64" customWidth="1"/>
    <col min="1285" max="1285" width="12" style="64" customWidth="1"/>
    <col min="1286" max="1286" width="12.28515625" style="64" customWidth="1"/>
    <col min="1287" max="1287" width="11.28515625" style="64" customWidth="1"/>
    <col min="1288" max="1288" width="10.85546875" style="64" customWidth="1"/>
    <col min="1289" max="1289" width="11.5703125" style="64" customWidth="1"/>
    <col min="1290" max="1290" width="12.5703125" style="64" customWidth="1"/>
    <col min="1291" max="1291" width="12.28515625" style="64" customWidth="1"/>
    <col min="1292" max="1292" width="12.140625" style="64" customWidth="1"/>
    <col min="1293" max="1293" width="0" style="64" hidden="1" customWidth="1"/>
    <col min="1294" max="1294" width="11.28515625" style="64" customWidth="1"/>
    <col min="1295" max="1295" width="11.140625" style="64" customWidth="1"/>
    <col min="1296" max="1297" width="0" style="64" hidden="1" customWidth="1"/>
    <col min="1298" max="1298" width="8.85546875" style="64" bestFit="1" customWidth="1"/>
    <col min="1299" max="1536" width="11.42578125" style="64"/>
    <col min="1537" max="1537" width="5.28515625" style="64" customWidth="1"/>
    <col min="1538" max="1538" width="25.42578125" style="64" customWidth="1"/>
    <col min="1539" max="1539" width="13" style="64" customWidth="1"/>
    <col min="1540" max="1540" width="9.5703125" style="64" customWidth="1"/>
    <col min="1541" max="1541" width="12" style="64" customWidth="1"/>
    <col min="1542" max="1542" width="12.28515625" style="64" customWidth="1"/>
    <col min="1543" max="1543" width="11.28515625" style="64" customWidth="1"/>
    <col min="1544" max="1544" width="10.85546875" style="64" customWidth="1"/>
    <col min="1545" max="1545" width="11.5703125" style="64" customWidth="1"/>
    <col min="1546" max="1546" width="12.5703125" style="64" customWidth="1"/>
    <col min="1547" max="1547" width="12.28515625" style="64" customWidth="1"/>
    <col min="1548" max="1548" width="12.140625" style="64" customWidth="1"/>
    <col min="1549" max="1549" width="0" style="64" hidden="1" customWidth="1"/>
    <col min="1550" max="1550" width="11.28515625" style="64" customWidth="1"/>
    <col min="1551" max="1551" width="11.140625" style="64" customWidth="1"/>
    <col min="1552" max="1553" width="0" style="64" hidden="1" customWidth="1"/>
    <col min="1554" max="1554" width="8.85546875" style="64" bestFit="1" customWidth="1"/>
    <col min="1555" max="1792" width="11.42578125" style="64"/>
    <col min="1793" max="1793" width="5.28515625" style="64" customWidth="1"/>
    <col min="1794" max="1794" width="25.42578125" style="64" customWidth="1"/>
    <col min="1795" max="1795" width="13" style="64" customWidth="1"/>
    <col min="1796" max="1796" width="9.5703125" style="64" customWidth="1"/>
    <col min="1797" max="1797" width="12" style="64" customWidth="1"/>
    <col min="1798" max="1798" width="12.28515625" style="64" customWidth="1"/>
    <col min="1799" max="1799" width="11.28515625" style="64" customWidth="1"/>
    <col min="1800" max="1800" width="10.85546875" style="64" customWidth="1"/>
    <col min="1801" max="1801" width="11.5703125" style="64" customWidth="1"/>
    <col min="1802" max="1802" width="12.5703125" style="64" customWidth="1"/>
    <col min="1803" max="1803" width="12.28515625" style="64" customWidth="1"/>
    <col min="1804" max="1804" width="12.140625" style="64" customWidth="1"/>
    <col min="1805" max="1805" width="0" style="64" hidden="1" customWidth="1"/>
    <col min="1806" max="1806" width="11.28515625" style="64" customWidth="1"/>
    <col min="1807" max="1807" width="11.140625" style="64" customWidth="1"/>
    <col min="1808" max="1809" width="0" style="64" hidden="1" customWidth="1"/>
    <col min="1810" max="1810" width="8.85546875" style="64" bestFit="1" customWidth="1"/>
    <col min="1811" max="2048" width="11.42578125" style="64"/>
    <col min="2049" max="2049" width="5.28515625" style="64" customWidth="1"/>
    <col min="2050" max="2050" width="25.42578125" style="64" customWidth="1"/>
    <col min="2051" max="2051" width="13" style="64" customWidth="1"/>
    <col min="2052" max="2052" width="9.5703125" style="64" customWidth="1"/>
    <col min="2053" max="2053" width="12" style="64" customWidth="1"/>
    <col min="2054" max="2054" width="12.28515625" style="64" customWidth="1"/>
    <col min="2055" max="2055" width="11.28515625" style="64" customWidth="1"/>
    <col min="2056" max="2056" width="10.85546875" style="64" customWidth="1"/>
    <col min="2057" max="2057" width="11.5703125" style="64" customWidth="1"/>
    <col min="2058" max="2058" width="12.5703125" style="64" customWidth="1"/>
    <col min="2059" max="2059" width="12.28515625" style="64" customWidth="1"/>
    <col min="2060" max="2060" width="12.140625" style="64" customWidth="1"/>
    <col min="2061" max="2061" width="0" style="64" hidden="1" customWidth="1"/>
    <col min="2062" max="2062" width="11.28515625" style="64" customWidth="1"/>
    <col min="2063" max="2063" width="11.140625" style="64" customWidth="1"/>
    <col min="2064" max="2065" width="0" style="64" hidden="1" customWidth="1"/>
    <col min="2066" max="2066" width="8.85546875" style="64" bestFit="1" customWidth="1"/>
    <col min="2067" max="2304" width="11.42578125" style="64"/>
    <col min="2305" max="2305" width="5.28515625" style="64" customWidth="1"/>
    <col min="2306" max="2306" width="25.42578125" style="64" customWidth="1"/>
    <col min="2307" max="2307" width="13" style="64" customWidth="1"/>
    <col min="2308" max="2308" width="9.5703125" style="64" customWidth="1"/>
    <col min="2309" max="2309" width="12" style="64" customWidth="1"/>
    <col min="2310" max="2310" width="12.28515625" style="64" customWidth="1"/>
    <col min="2311" max="2311" width="11.28515625" style="64" customWidth="1"/>
    <col min="2312" max="2312" width="10.85546875" style="64" customWidth="1"/>
    <col min="2313" max="2313" width="11.5703125" style="64" customWidth="1"/>
    <col min="2314" max="2314" width="12.5703125" style="64" customWidth="1"/>
    <col min="2315" max="2315" width="12.28515625" style="64" customWidth="1"/>
    <col min="2316" max="2316" width="12.140625" style="64" customWidth="1"/>
    <col min="2317" max="2317" width="0" style="64" hidden="1" customWidth="1"/>
    <col min="2318" max="2318" width="11.28515625" style="64" customWidth="1"/>
    <col min="2319" max="2319" width="11.140625" style="64" customWidth="1"/>
    <col min="2320" max="2321" width="0" style="64" hidden="1" customWidth="1"/>
    <col min="2322" max="2322" width="8.85546875" style="64" bestFit="1" customWidth="1"/>
    <col min="2323" max="2560" width="11.42578125" style="64"/>
    <col min="2561" max="2561" width="5.28515625" style="64" customWidth="1"/>
    <col min="2562" max="2562" width="25.42578125" style="64" customWidth="1"/>
    <col min="2563" max="2563" width="13" style="64" customWidth="1"/>
    <col min="2564" max="2564" width="9.5703125" style="64" customWidth="1"/>
    <col min="2565" max="2565" width="12" style="64" customWidth="1"/>
    <col min="2566" max="2566" width="12.28515625" style="64" customWidth="1"/>
    <col min="2567" max="2567" width="11.28515625" style="64" customWidth="1"/>
    <col min="2568" max="2568" width="10.85546875" style="64" customWidth="1"/>
    <col min="2569" max="2569" width="11.5703125" style="64" customWidth="1"/>
    <col min="2570" max="2570" width="12.5703125" style="64" customWidth="1"/>
    <col min="2571" max="2571" width="12.28515625" style="64" customWidth="1"/>
    <col min="2572" max="2572" width="12.140625" style="64" customWidth="1"/>
    <col min="2573" max="2573" width="0" style="64" hidden="1" customWidth="1"/>
    <col min="2574" max="2574" width="11.28515625" style="64" customWidth="1"/>
    <col min="2575" max="2575" width="11.140625" style="64" customWidth="1"/>
    <col min="2576" max="2577" width="0" style="64" hidden="1" customWidth="1"/>
    <col min="2578" max="2578" width="8.85546875" style="64" bestFit="1" customWidth="1"/>
    <col min="2579" max="2816" width="11.42578125" style="64"/>
    <col min="2817" max="2817" width="5.28515625" style="64" customWidth="1"/>
    <col min="2818" max="2818" width="25.42578125" style="64" customWidth="1"/>
    <col min="2819" max="2819" width="13" style="64" customWidth="1"/>
    <col min="2820" max="2820" width="9.5703125" style="64" customWidth="1"/>
    <col min="2821" max="2821" width="12" style="64" customWidth="1"/>
    <col min="2822" max="2822" width="12.28515625" style="64" customWidth="1"/>
    <col min="2823" max="2823" width="11.28515625" style="64" customWidth="1"/>
    <col min="2824" max="2824" width="10.85546875" style="64" customWidth="1"/>
    <col min="2825" max="2825" width="11.5703125" style="64" customWidth="1"/>
    <col min="2826" max="2826" width="12.5703125" style="64" customWidth="1"/>
    <col min="2827" max="2827" width="12.28515625" style="64" customWidth="1"/>
    <col min="2828" max="2828" width="12.140625" style="64" customWidth="1"/>
    <col min="2829" max="2829" width="0" style="64" hidden="1" customWidth="1"/>
    <col min="2830" max="2830" width="11.28515625" style="64" customWidth="1"/>
    <col min="2831" max="2831" width="11.140625" style="64" customWidth="1"/>
    <col min="2832" max="2833" width="0" style="64" hidden="1" customWidth="1"/>
    <col min="2834" max="2834" width="8.85546875" style="64" bestFit="1" customWidth="1"/>
    <col min="2835" max="3072" width="11.42578125" style="64"/>
    <col min="3073" max="3073" width="5.28515625" style="64" customWidth="1"/>
    <col min="3074" max="3074" width="25.42578125" style="64" customWidth="1"/>
    <col min="3075" max="3075" width="13" style="64" customWidth="1"/>
    <col min="3076" max="3076" width="9.5703125" style="64" customWidth="1"/>
    <col min="3077" max="3077" width="12" style="64" customWidth="1"/>
    <col min="3078" max="3078" width="12.28515625" style="64" customWidth="1"/>
    <col min="3079" max="3079" width="11.28515625" style="64" customWidth="1"/>
    <col min="3080" max="3080" width="10.85546875" style="64" customWidth="1"/>
    <col min="3081" max="3081" width="11.5703125" style="64" customWidth="1"/>
    <col min="3082" max="3082" width="12.5703125" style="64" customWidth="1"/>
    <col min="3083" max="3083" width="12.28515625" style="64" customWidth="1"/>
    <col min="3084" max="3084" width="12.140625" style="64" customWidth="1"/>
    <col min="3085" max="3085" width="0" style="64" hidden="1" customWidth="1"/>
    <col min="3086" max="3086" width="11.28515625" style="64" customWidth="1"/>
    <col min="3087" max="3087" width="11.140625" style="64" customWidth="1"/>
    <col min="3088" max="3089" width="0" style="64" hidden="1" customWidth="1"/>
    <col min="3090" max="3090" width="8.85546875" style="64" bestFit="1" customWidth="1"/>
    <col min="3091" max="3328" width="11.42578125" style="64"/>
    <col min="3329" max="3329" width="5.28515625" style="64" customWidth="1"/>
    <col min="3330" max="3330" width="25.42578125" style="64" customWidth="1"/>
    <col min="3331" max="3331" width="13" style="64" customWidth="1"/>
    <col min="3332" max="3332" width="9.5703125" style="64" customWidth="1"/>
    <col min="3333" max="3333" width="12" style="64" customWidth="1"/>
    <col min="3334" max="3334" width="12.28515625" style="64" customWidth="1"/>
    <col min="3335" max="3335" width="11.28515625" style="64" customWidth="1"/>
    <col min="3336" max="3336" width="10.85546875" style="64" customWidth="1"/>
    <col min="3337" max="3337" width="11.5703125" style="64" customWidth="1"/>
    <col min="3338" max="3338" width="12.5703125" style="64" customWidth="1"/>
    <col min="3339" max="3339" width="12.28515625" style="64" customWidth="1"/>
    <col min="3340" max="3340" width="12.140625" style="64" customWidth="1"/>
    <col min="3341" max="3341" width="0" style="64" hidden="1" customWidth="1"/>
    <col min="3342" max="3342" width="11.28515625" style="64" customWidth="1"/>
    <col min="3343" max="3343" width="11.140625" style="64" customWidth="1"/>
    <col min="3344" max="3345" width="0" style="64" hidden="1" customWidth="1"/>
    <col min="3346" max="3346" width="8.85546875" style="64" bestFit="1" customWidth="1"/>
    <col min="3347" max="3584" width="11.42578125" style="64"/>
    <col min="3585" max="3585" width="5.28515625" style="64" customWidth="1"/>
    <col min="3586" max="3586" width="25.42578125" style="64" customWidth="1"/>
    <col min="3587" max="3587" width="13" style="64" customWidth="1"/>
    <col min="3588" max="3588" width="9.5703125" style="64" customWidth="1"/>
    <col min="3589" max="3589" width="12" style="64" customWidth="1"/>
    <col min="3590" max="3590" width="12.28515625" style="64" customWidth="1"/>
    <col min="3591" max="3591" width="11.28515625" style="64" customWidth="1"/>
    <col min="3592" max="3592" width="10.85546875" style="64" customWidth="1"/>
    <col min="3593" max="3593" width="11.5703125" style="64" customWidth="1"/>
    <col min="3594" max="3594" width="12.5703125" style="64" customWidth="1"/>
    <col min="3595" max="3595" width="12.28515625" style="64" customWidth="1"/>
    <col min="3596" max="3596" width="12.140625" style="64" customWidth="1"/>
    <col min="3597" max="3597" width="0" style="64" hidden="1" customWidth="1"/>
    <col min="3598" max="3598" width="11.28515625" style="64" customWidth="1"/>
    <col min="3599" max="3599" width="11.140625" style="64" customWidth="1"/>
    <col min="3600" max="3601" width="0" style="64" hidden="1" customWidth="1"/>
    <col min="3602" max="3602" width="8.85546875" style="64" bestFit="1" customWidth="1"/>
    <col min="3603" max="3840" width="11.42578125" style="64"/>
    <col min="3841" max="3841" width="5.28515625" style="64" customWidth="1"/>
    <col min="3842" max="3842" width="25.42578125" style="64" customWidth="1"/>
    <col min="3843" max="3843" width="13" style="64" customWidth="1"/>
    <col min="3844" max="3844" width="9.5703125" style="64" customWidth="1"/>
    <col min="3845" max="3845" width="12" style="64" customWidth="1"/>
    <col min="3846" max="3846" width="12.28515625" style="64" customWidth="1"/>
    <col min="3847" max="3847" width="11.28515625" style="64" customWidth="1"/>
    <col min="3848" max="3848" width="10.85546875" style="64" customWidth="1"/>
    <col min="3849" max="3849" width="11.5703125" style="64" customWidth="1"/>
    <col min="3850" max="3850" width="12.5703125" style="64" customWidth="1"/>
    <col min="3851" max="3851" width="12.28515625" style="64" customWidth="1"/>
    <col min="3852" max="3852" width="12.140625" style="64" customWidth="1"/>
    <col min="3853" max="3853" width="0" style="64" hidden="1" customWidth="1"/>
    <col min="3854" max="3854" width="11.28515625" style="64" customWidth="1"/>
    <col min="3855" max="3855" width="11.140625" style="64" customWidth="1"/>
    <col min="3856" max="3857" width="0" style="64" hidden="1" customWidth="1"/>
    <col min="3858" max="3858" width="8.85546875" style="64" bestFit="1" customWidth="1"/>
    <col min="3859" max="4096" width="11.42578125" style="64"/>
    <col min="4097" max="4097" width="5.28515625" style="64" customWidth="1"/>
    <col min="4098" max="4098" width="25.42578125" style="64" customWidth="1"/>
    <col min="4099" max="4099" width="13" style="64" customWidth="1"/>
    <col min="4100" max="4100" width="9.5703125" style="64" customWidth="1"/>
    <col min="4101" max="4101" width="12" style="64" customWidth="1"/>
    <col min="4102" max="4102" width="12.28515625" style="64" customWidth="1"/>
    <col min="4103" max="4103" width="11.28515625" style="64" customWidth="1"/>
    <col min="4104" max="4104" width="10.85546875" style="64" customWidth="1"/>
    <col min="4105" max="4105" width="11.5703125" style="64" customWidth="1"/>
    <col min="4106" max="4106" width="12.5703125" style="64" customWidth="1"/>
    <col min="4107" max="4107" width="12.28515625" style="64" customWidth="1"/>
    <col min="4108" max="4108" width="12.140625" style="64" customWidth="1"/>
    <col min="4109" max="4109" width="0" style="64" hidden="1" customWidth="1"/>
    <col min="4110" max="4110" width="11.28515625" style="64" customWidth="1"/>
    <col min="4111" max="4111" width="11.140625" style="64" customWidth="1"/>
    <col min="4112" max="4113" width="0" style="64" hidden="1" customWidth="1"/>
    <col min="4114" max="4114" width="8.85546875" style="64" bestFit="1" customWidth="1"/>
    <col min="4115" max="4352" width="11.42578125" style="64"/>
    <col min="4353" max="4353" width="5.28515625" style="64" customWidth="1"/>
    <col min="4354" max="4354" width="25.42578125" style="64" customWidth="1"/>
    <col min="4355" max="4355" width="13" style="64" customWidth="1"/>
    <col min="4356" max="4356" width="9.5703125" style="64" customWidth="1"/>
    <col min="4357" max="4357" width="12" style="64" customWidth="1"/>
    <col min="4358" max="4358" width="12.28515625" style="64" customWidth="1"/>
    <col min="4359" max="4359" width="11.28515625" style="64" customWidth="1"/>
    <col min="4360" max="4360" width="10.85546875" style="64" customWidth="1"/>
    <col min="4361" max="4361" width="11.5703125" style="64" customWidth="1"/>
    <col min="4362" max="4362" width="12.5703125" style="64" customWidth="1"/>
    <col min="4363" max="4363" width="12.28515625" style="64" customWidth="1"/>
    <col min="4364" max="4364" width="12.140625" style="64" customWidth="1"/>
    <col min="4365" max="4365" width="0" style="64" hidden="1" customWidth="1"/>
    <col min="4366" max="4366" width="11.28515625" style="64" customWidth="1"/>
    <col min="4367" max="4367" width="11.140625" style="64" customWidth="1"/>
    <col min="4368" max="4369" width="0" style="64" hidden="1" customWidth="1"/>
    <col min="4370" max="4370" width="8.85546875" style="64" bestFit="1" customWidth="1"/>
    <col min="4371" max="4608" width="11.42578125" style="64"/>
    <col min="4609" max="4609" width="5.28515625" style="64" customWidth="1"/>
    <col min="4610" max="4610" width="25.42578125" style="64" customWidth="1"/>
    <col min="4611" max="4611" width="13" style="64" customWidth="1"/>
    <col min="4612" max="4612" width="9.5703125" style="64" customWidth="1"/>
    <col min="4613" max="4613" width="12" style="64" customWidth="1"/>
    <col min="4614" max="4614" width="12.28515625" style="64" customWidth="1"/>
    <col min="4615" max="4615" width="11.28515625" style="64" customWidth="1"/>
    <col min="4616" max="4616" width="10.85546875" style="64" customWidth="1"/>
    <col min="4617" max="4617" width="11.5703125" style="64" customWidth="1"/>
    <col min="4618" max="4618" width="12.5703125" style="64" customWidth="1"/>
    <col min="4619" max="4619" width="12.28515625" style="64" customWidth="1"/>
    <col min="4620" max="4620" width="12.140625" style="64" customWidth="1"/>
    <col min="4621" max="4621" width="0" style="64" hidden="1" customWidth="1"/>
    <col min="4622" max="4622" width="11.28515625" style="64" customWidth="1"/>
    <col min="4623" max="4623" width="11.140625" style="64" customWidth="1"/>
    <col min="4624" max="4625" width="0" style="64" hidden="1" customWidth="1"/>
    <col min="4626" max="4626" width="8.85546875" style="64" bestFit="1" customWidth="1"/>
    <col min="4627" max="4864" width="11.42578125" style="64"/>
    <col min="4865" max="4865" width="5.28515625" style="64" customWidth="1"/>
    <col min="4866" max="4866" width="25.42578125" style="64" customWidth="1"/>
    <col min="4867" max="4867" width="13" style="64" customWidth="1"/>
    <col min="4868" max="4868" width="9.5703125" style="64" customWidth="1"/>
    <col min="4869" max="4869" width="12" style="64" customWidth="1"/>
    <col min="4870" max="4870" width="12.28515625" style="64" customWidth="1"/>
    <col min="4871" max="4871" width="11.28515625" style="64" customWidth="1"/>
    <col min="4872" max="4872" width="10.85546875" style="64" customWidth="1"/>
    <col min="4873" max="4873" width="11.5703125" style="64" customWidth="1"/>
    <col min="4874" max="4874" width="12.5703125" style="64" customWidth="1"/>
    <col min="4875" max="4875" width="12.28515625" style="64" customWidth="1"/>
    <col min="4876" max="4876" width="12.140625" style="64" customWidth="1"/>
    <col min="4877" max="4877" width="0" style="64" hidden="1" customWidth="1"/>
    <col min="4878" max="4878" width="11.28515625" style="64" customWidth="1"/>
    <col min="4879" max="4879" width="11.140625" style="64" customWidth="1"/>
    <col min="4880" max="4881" width="0" style="64" hidden="1" customWidth="1"/>
    <col min="4882" max="4882" width="8.85546875" style="64" bestFit="1" customWidth="1"/>
    <col min="4883" max="5120" width="11.42578125" style="64"/>
    <col min="5121" max="5121" width="5.28515625" style="64" customWidth="1"/>
    <col min="5122" max="5122" width="25.42578125" style="64" customWidth="1"/>
    <col min="5123" max="5123" width="13" style="64" customWidth="1"/>
    <col min="5124" max="5124" width="9.5703125" style="64" customWidth="1"/>
    <col min="5125" max="5125" width="12" style="64" customWidth="1"/>
    <col min="5126" max="5126" width="12.28515625" style="64" customWidth="1"/>
    <col min="5127" max="5127" width="11.28515625" style="64" customWidth="1"/>
    <col min="5128" max="5128" width="10.85546875" style="64" customWidth="1"/>
    <col min="5129" max="5129" width="11.5703125" style="64" customWidth="1"/>
    <col min="5130" max="5130" width="12.5703125" style="64" customWidth="1"/>
    <col min="5131" max="5131" width="12.28515625" style="64" customWidth="1"/>
    <col min="5132" max="5132" width="12.140625" style="64" customWidth="1"/>
    <col min="5133" max="5133" width="0" style="64" hidden="1" customWidth="1"/>
    <col min="5134" max="5134" width="11.28515625" style="64" customWidth="1"/>
    <col min="5135" max="5135" width="11.140625" style="64" customWidth="1"/>
    <col min="5136" max="5137" width="0" style="64" hidden="1" customWidth="1"/>
    <col min="5138" max="5138" width="8.85546875" style="64" bestFit="1" customWidth="1"/>
    <col min="5139" max="5376" width="11.42578125" style="64"/>
    <col min="5377" max="5377" width="5.28515625" style="64" customWidth="1"/>
    <col min="5378" max="5378" width="25.42578125" style="64" customWidth="1"/>
    <col min="5379" max="5379" width="13" style="64" customWidth="1"/>
    <col min="5380" max="5380" width="9.5703125" style="64" customWidth="1"/>
    <col min="5381" max="5381" width="12" style="64" customWidth="1"/>
    <col min="5382" max="5382" width="12.28515625" style="64" customWidth="1"/>
    <col min="5383" max="5383" width="11.28515625" style="64" customWidth="1"/>
    <col min="5384" max="5384" width="10.85546875" style="64" customWidth="1"/>
    <col min="5385" max="5385" width="11.5703125" style="64" customWidth="1"/>
    <col min="5386" max="5386" width="12.5703125" style="64" customWidth="1"/>
    <col min="5387" max="5387" width="12.28515625" style="64" customWidth="1"/>
    <col min="5388" max="5388" width="12.140625" style="64" customWidth="1"/>
    <col min="5389" max="5389" width="0" style="64" hidden="1" customWidth="1"/>
    <col min="5390" max="5390" width="11.28515625" style="64" customWidth="1"/>
    <col min="5391" max="5391" width="11.140625" style="64" customWidth="1"/>
    <col min="5392" max="5393" width="0" style="64" hidden="1" customWidth="1"/>
    <col min="5394" max="5394" width="8.85546875" style="64" bestFit="1" customWidth="1"/>
    <col min="5395" max="5632" width="11.42578125" style="64"/>
    <col min="5633" max="5633" width="5.28515625" style="64" customWidth="1"/>
    <col min="5634" max="5634" width="25.42578125" style="64" customWidth="1"/>
    <col min="5635" max="5635" width="13" style="64" customWidth="1"/>
    <col min="5636" max="5636" width="9.5703125" style="64" customWidth="1"/>
    <col min="5637" max="5637" width="12" style="64" customWidth="1"/>
    <col min="5638" max="5638" width="12.28515625" style="64" customWidth="1"/>
    <col min="5639" max="5639" width="11.28515625" style="64" customWidth="1"/>
    <col min="5640" max="5640" width="10.85546875" style="64" customWidth="1"/>
    <col min="5641" max="5641" width="11.5703125" style="64" customWidth="1"/>
    <col min="5642" max="5642" width="12.5703125" style="64" customWidth="1"/>
    <col min="5643" max="5643" width="12.28515625" style="64" customWidth="1"/>
    <col min="5644" max="5644" width="12.140625" style="64" customWidth="1"/>
    <col min="5645" max="5645" width="0" style="64" hidden="1" customWidth="1"/>
    <col min="5646" max="5646" width="11.28515625" style="64" customWidth="1"/>
    <col min="5647" max="5647" width="11.140625" style="64" customWidth="1"/>
    <col min="5648" max="5649" width="0" style="64" hidden="1" customWidth="1"/>
    <col min="5650" max="5650" width="8.85546875" style="64" bestFit="1" customWidth="1"/>
    <col min="5651" max="5888" width="11.42578125" style="64"/>
    <col min="5889" max="5889" width="5.28515625" style="64" customWidth="1"/>
    <col min="5890" max="5890" width="25.42578125" style="64" customWidth="1"/>
    <col min="5891" max="5891" width="13" style="64" customWidth="1"/>
    <col min="5892" max="5892" width="9.5703125" style="64" customWidth="1"/>
    <col min="5893" max="5893" width="12" style="64" customWidth="1"/>
    <col min="5894" max="5894" width="12.28515625" style="64" customWidth="1"/>
    <col min="5895" max="5895" width="11.28515625" style="64" customWidth="1"/>
    <col min="5896" max="5896" width="10.85546875" style="64" customWidth="1"/>
    <col min="5897" max="5897" width="11.5703125" style="64" customWidth="1"/>
    <col min="5898" max="5898" width="12.5703125" style="64" customWidth="1"/>
    <col min="5899" max="5899" width="12.28515625" style="64" customWidth="1"/>
    <col min="5900" max="5900" width="12.140625" style="64" customWidth="1"/>
    <col min="5901" max="5901" width="0" style="64" hidden="1" customWidth="1"/>
    <col min="5902" max="5902" width="11.28515625" style="64" customWidth="1"/>
    <col min="5903" max="5903" width="11.140625" style="64" customWidth="1"/>
    <col min="5904" max="5905" width="0" style="64" hidden="1" customWidth="1"/>
    <col min="5906" max="5906" width="8.85546875" style="64" bestFit="1" customWidth="1"/>
    <col min="5907" max="6144" width="11.42578125" style="64"/>
    <col min="6145" max="6145" width="5.28515625" style="64" customWidth="1"/>
    <col min="6146" max="6146" width="25.42578125" style="64" customWidth="1"/>
    <col min="6147" max="6147" width="13" style="64" customWidth="1"/>
    <col min="6148" max="6148" width="9.5703125" style="64" customWidth="1"/>
    <col min="6149" max="6149" width="12" style="64" customWidth="1"/>
    <col min="6150" max="6150" width="12.28515625" style="64" customWidth="1"/>
    <col min="6151" max="6151" width="11.28515625" style="64" customWidth="1"/>
    <col min="6152" max="6152" width="10.85546875" style="64" customWidth="1"/>
    <col min="6153" max="6153" width="11.5703125" style="64" customWidth="1"/>
    <col min="6154" max="6154" width="12.5703125" style="64" customWidth="1"/>
    <col min="6155" max="6155" width="12.28515625" style="64" customWidth="1"/>
    <col min="6156" max="6156" width="12.140625" style="64" customWidth="1"/>
    <col min="6157" max="6157" width="0" style="64" hidden="1" customWidth="1"/>
    <col min="6158" max="6158" width="11.28515625" style="64" customWidth="1"/>
    <col min="6159" max="6159" width="11.140625" style="64" customWidth="1"/>
    <col min="6160" max="6161" width="0" style="64" hidden="1" customWidth="1"/>
    <col min="6162" max="6162" width="8.85546875" style="64" bestFit="1" customWidth="1"/>
    <col min="6163" max="6400" width="11.42578125" style="64"/>
    <col min="6401" max="6401" width="5.28515625" style="64" customWidth="1"/>
    <col min="6402" max="6402" width="25.42578125" style="64" customWidth="1"/>
    <col min="6403" max="6403" width="13" style="64" customWidth="1"/>
    <col min="6404" max="6404" width="9.5703125" style="64" customWidth="1"/>
    <col min="6405" max="6405" width="12" style="64" customWidth="1"/>
    <col min="6406" max="6406" width="12.28515625" style="64" customWidth="1"/>
    <col min="6407" max="6407" width="11.28515625" style="64" customWidth="1"/>
    <col min="6408" max="6408" width="10.85546875" style="64" customWidth="1"/>
    <col min="6409" max="6409" width="11.5703125" style="64" customWidth="1"/>
    <col min="6410" max="6410" width="12.5703125" style="64" customWidth="1"/>
    <col min="6411" max="6411" width="12.28515625" style="64" customWidth="1"/>
    <col min="6412" max="6412" width="12.140625" style="64" customWidth="1"/>
    <col min="6413" max="6413" width="0" style="64" hidden="1" customWidth="1"/>
    <col min="6414" max="6414" width="11.28515625" style="64" customWidth="1"/>
    <col min="6415" max="6415" width="11.140625" style="64" customWidth="1"/>
    <col min="6416" max="6417" width="0" style="64" hidden="1" customWidth="1"/>
    <col min="6418" max="6418" width="8.85546875" style="64" bestFit="1" customWidth="1"/>
    <col min="6419" max="6656" width="11.42578125" style="64"/>
    <col min="6657" max="6657" width="5.28515625" style="64" customWidth="1"/>
    <col min="6658" max="6658" width="25.42578125" style="64" customWidth="1"/>
    <col min="6659" max="6659" width="13" style="64" customWidth="1"/>
    <col min="6660" max="6660" width="9.5703125" style="64" customWidth="1"/>
    <col min="6661" max="6661" width="12" style="64" customWidth="1"/>
    <col min="6662" max="6662" width="12.28515625" style="64" customWidth="1"/>
    <col min="6663" max="6663" width="11.28515625" style="64" customWidth="1"/>
    <col min="6664" max="6664" width="10.85546875" style="64" customWidth="1"/>
    <col min="6665" max="6665" width="11.5703125" style="64" customWidth="1"/>
    <col min="6666" max="6666" width="12.5703125" style="64" customWidth="1"/>
    <col min="6667" max="6667" width="12.28515625" style="64" customWidth="1"/>
    <col min="6668" max="6668" width="12.140625" style="64" customWidth="1"/>
    <col min="6669" max="6669" width="0" style="64" hidden="1" customWidth="1"/>
    <col min="6670" max="6670" width="11.28515625" style="64" customWidth="1"/>
    <col min="6671" max="6671" width="11.140625" style="64" customWidth="1"/>
    <col min="6672" max="6673" width="0" style="64" hidden="1" customWidth="1"/>
    <col min="6674" max="6674" width="8.85546875" style="64" bestFit="1" customWidth="1"/>
    <col min="6675" max="6912" width="11.42578125" style="64"/>
    <col min="6913" max="6913" width="5.28515625" style="64" customWidth="1"/>
    <col min="6914" max="6914" width="25.42578125" style="64" customWidth="1"/>
    <col min="6915" max="6915" width="13" style="64" customWidth="1"/>
    <col min="6916" max="6916" width="9.5703125" style="64" customWidth="1"/>
    <col min="6917" max="6917" width="12" style="64" customWidth="1"/>
    <col min="6918" max="6918" width="12.28515625" style="64" customWidth="1"/>
    <col min="6919" max="6919" width="11.28515625" style="64" customWidth="1"/>
    <col min="6920" max="6920" width="10.85546875" style="64" customWidth="1"/>
    <col min="6921" max="6921" width="11.5703125" style="64" customWidth="1"/>
    <col min="6922" max="6922" width="12.5703125" style="64" customWidth="1"/>
    <col min="6923" max="6923" width="12.28515625" style="64" customWidth="1"/>
    <col min="6924" max="6924" width="12.140625" style="64" customWidth="1"/>
    <col min="6925" max="6925" width="0" style="64" hidden="1" customWidth="1"/>
    <col min="6926" max="6926" width="11.28515625" style="64" customWidth="1"/>
    <col min="6927" max="6927" width="11.140625" style="64" customWidth="1"/>
    <col min="6928" max="6929" width="0" style="64" hidden="1" customWidth="1"/>
    <col min="6930" max="6930" width="8.85546875" style="64" bestFit="1" customWidth="1"/>
    <col min="6931" max="7168" width="11.42578125" style="64"/>
    <col min="7169" max="7169" width="5.28515625" style="64" customWidth="1"/>
    <col min="7170" max="7170" width="25.42578125" style="64" customWidth="1"/>
    <col min="7171" max="7171" width="13" style="64" customWidth="1"/>
    <col min="7172" max="7172" width="9.5703125" style="64" customWidth="1"/>
    <col min="7173" max="7173" width="12" style="64" customWidth="1"/>
    <col min="7174" max="7174" width="12.28515625" style="64" customWidth="1"/>
    <col min="7175" max="7175" width="11.28515625" style="64" customWidth="1"/>
    <col min="7176" max="7176" width="10.85546875" style="64" customWidth="1"/>
    <col min="7177" max="7177" width="11.5703125" style="64" customWidth="1"/>
    <col min="7178" max="7178" width="12.5703125" style="64" customWidth="1"/>
    <col min="7179" max="7179" width="12.28515625" style="64" customWidth="1"/>
    <col min="7180" max="7180" width="12.140625" style="64" customWidth="1"/>
    <col min="7181" max="7181" width="0" style="64" hidden="1" customWidth="1"/>
    <col min="7182" max="7182" width="11.28515625" style="64" customWidth="1"/>
    <col min="7183" max="7183" width="11.140625" style="64" customWidth="1"/>
    <col min="7184" max="7185" width="0" style="64" hidden="1" customWidth="1"/>
    <col min="7186" max="7186" width="8.85546875" style="64" bestFit="1" customWidth="1"/>
    <col min="7187" max="7424" width="11.42578125" style="64"/>
    <col min="7425" max="7425" width="5.28515625" style="64" customWidth="1"/>
    <col min="7426" max="7426" width="25.42578125" style="64" customWidth="1"/>
    <col min="7427" max="7427" width="13" style="64" customWidth="1"/>
    <col min="7428" max="7428" width="9.5703125" style="64" customWidth="1"/>
    <col min="7429" max="7429" width="12" style="64" customWidth="1"/>
    <col min="7430" max="7430" width="12.28515625" style="64" customWidth="1"/>
    <col min="7431" max="7431" width="11.28515625" style="64" customWidth="1"/>
    <col min="7432" max="7432" width="10.85546875" style="64" customWidth="1"/>
    <col min="7433" max="7433" width="11.5703125" style="64" customWidth="1"/>
    <col min="7434" max="7434" width="12.5703125" style="64" customWidth="1"/>
    <col min="7435" max="7435" width="12.28515625" style="64" customWidth="1"/>
    <col min="7436" max="7436" width="12.140625" style="64" customWidth="1"/>
    <col min="7437" max="7437" width="0" style="64" hidden="1" customWidth="1"/>
    <col min="7438" max="7438" width="11.28515625" style="64" customWidth="1"/>
    <col min="7439" max="7439" width="11.140625" style="64" customWidth="1"/>
    <col min="7440" max="7441" width="0" style="64" hidden="1" customWidth="1"/>
    <col min="7442" max="7442" width="8.85546875" style="64" bestFit="1" customWidth="1"/>
    <col min="7443" max="7680" width="11.42578125" style="64"/>
    <col min="7681" max="7681" width="5.28515625" style="64" customWidth="1"/>
    <col min="7682" max="7682" width="25.42578125" style="64" customWidth="1"/>
    <col min="7683" max="7683" width="13" style="64" customWidth="1"/>
    <col min="7684" max="7684" width="9.5703125" style="64" customWidth="1"/>
    <col min="7685" max="7685" width="12" style="64" customWidth="1"/>
    <col min="7686" max="7686" width="12.28515625" style="64" customWidth="1"/>
    <col min="7687" max="7687" width="11.28515625" style="64" customWidth="1"/>
    <col min="7688" max="7688" width="10.85546875" style="64" customWidth="1"/>
    <col min="7689" max="7689" width="11.5703125" style="64" customWidth="1"/>
    <col min="7690" max="7690" width="12.5703125" style="64" customWidth="1"/>
    <col min="7691" max="7691" width="12.28515625" style="64" customWidth="1"/>
    <col min="7692" max="7692" width="12.140625" style="64" customWidth="1"/>
    <col min="7693" max="7693" width="0" style="64" hidden="1" customWidth="1"/>
    <col min="7694" max="7694" width="11.28515625" style="64" customWidth="1"/>
    <col min="7695" max="7695" width="11.140625" style="64" customWidth="1"/>
    <col min="7696" max="7697" width="0" style="64" hidden="1" customWidth="1"/>
    <col min="7698" max="7698" width="8.85546875" style="64" bestFit="1" customWidth="1"/>
    <col min="7699" max="7936" width="11.42578125" style="64"/>
    <col min="7937" max="7937" width="5.28515625" style="64" customWidth="1"/>
    <col min="7938" max="7938" width="25.42578125" style="64" customWidth="1"/>
    <col min="7939" max="7939" width="13" style="64" customWidth="1"/>
    <col min="7940" max="7940" width="9.5703125" style="64" customWidth="1"/>
    <col min="7941" max="7941" width="12" style="64" customWidth="1"/>
    <col min="7942" max="7942" width="12.28515625" style="64" customWidth="1"/>
    <col min="7943" max="7943" width="11.28515625" style="64" customWidth="1"/>
    <col min="7944" max="7944" width="10.85546875" style="64" customWidth="1"/>
    <col min="7945" max="7945" width="11.5703125" style="64" customWidth="1"/>
    <col min="7946" max="7946" width="12.5703125" style="64" customWidth="1"/>
    <col min="7947" max="7947" width="12.28515625" style="64" customWidth="1"/>
    <col min="7948" max="7948" width="12.140625" style="64" customWidth="1"/>
    <col min="7949" max="7949" width="0" style="64" hidden="1" customWidth="1"/>
    <col min="7950" max="7950" width="11.28515625" style="64" customWidth="1"/>
    <col min="7951" max="7951" width="11.140625" style="64" customWidth="1"/>
    <col min="7952" max="7953" width="0" style="64" hidden="1" customWidth="1"/>
    <col min="7954" max="7954" width="8.85546875" style="64" bestFit="1" customWidth="1"/>
    <col min="7955" max="8192" width="11.42578125" style="64"/>
    <col min="8193" max="8193" width="5.28515625" style="64" customWidth="1"/>
    <col min="8194" max="8194" width="25.42578125" style="64" customWidth="1"/>
    <col min="8195" max="8195" width="13" style="64" customWidth="1"/>
    <col min="8196" max="8196" width="9.5703125" style="64" customWidth="1"/>
    <col min="8197" max="8197" width="12" style="64" customWidth="1"/>
    <col min="8198" max="8198" width="12.28515625" style="64" customWidth="1"/>
    <col min="8199" max="8199" width="11.28515625" style="64" customWidth="1"/>
    <col min="8200" max="8200" width="10.85546875" style="64" customWidth="1"/>
    <col min="8201" max="8201" width="11.5703125" style="64" customWidth="1"/>
    <col min="8202" max="8202" width="12.5703125" style="64" customWidth="1"/>
    <col min="8203" max="8203" width="12.28515625" style="64" customWidth="1"/>
    <col min="8204" max="8204" width="12.140625" style="64" customWidth="1"/>
    <col min="8205" max="8205" width="0" style="64" hidden="1" customWidth="1"/>
    <col min="8206" max="8206" width="11.28515625" style="64" customWidth="1"/>
    <col min="8207" max="8207" width="11.140625" style="64" customWidth="1"/>
    <col min="8208" max="8209" width="0" style="64" hidden="1" customWidth="1"/>
    <col min="8210" max="8210" width="8.85546875" style="64" bestFit="1" customWidth="1"/>
    <col min="8211" max="8448" width="11.42578125" style="64"/>
    <col min="8449" max="8449" width="5.28515625" style="64" customWidth="1"/>
    <col min="8450" max="8450" width="25.42578125" style="64" customWidth="1"/>
    <col min="8451" max="8451" width="13" style="64" customWidth="1"/>
    <col min="8452" max="8452" width="9.5703125" style="64" customWidth="1"/>
    <col min="8453" max="8453" width="12" style="64" customWidth="1"/>
    <col min="8454" max="8454" width="12.28515625" style="64" customWidth="1"/>
    <col min="8455" max="8455" width="11.28515625" style="64" customWidth="1"/>
    <col min="8456" max="8456" width="10.85546875" style="64" customWidth="1"/>
    <col min="8457" max="8457" width="11.5703125" style="64" customWidth="1"/>
    <col min="8458" max="8458" width="12.5703125" style="64" customWidth="1"/>
    <col min="8459" max="8459" width="12.28515625" style="64" customWidth="1"/>
    <col min="8460" max="8460" width="12.140625" style="64" customWidth="1"/>
    <col min="8461" max="8461" width="0" style="64" hidden="1" customWidth="1"/>
    <col min="8462" max="8462" width="11.28515625" style="64" customWidth="1"/>
    <col min="8463" max="8463" width="11.140625" style="64" customWidth="1"/>
    <col min="8464" max="8465" width="0" style="64" hidden="1" customWidth="1"/>
    <col min="8466" max="8466" width="8.85546875" style="64" bestFit="1" customWidth="1"/>
    <col min="8467" max="8704" width="11.42578125" style="64"/>
    <col min="8705" max="8705" width="5.28515625" style="64" customWidth="1"/>
    <col min="8706" max="8706" width="25.42578125" style="64" customWidth="1"/>
    <col min="8707" max="8707" width="13" style="64" customWidth="1"/>
    <col min="8708" max="8708" width="9.5703125" style="64" customWidth="1"/>
    <col min="8709" max="8709" width="12" style="64" customWidth="1"/>
    <col min="8710" max="8710" width="12.28515625" style="64" customWidth="1"/>
    <col min="8711" max="8711" width="11.28515625" style="64" customWidth="1"/>
    <col min="8712" max="8712" width="10.85546875" style="64" customWidth="1"/>
    <col min="8713" max="8713" width="11.5703125" style="64" customWidth="1"/>
    <col min="8714" max="8714" width="12.5703125" style="64" customWidth="1"/>
    <col min="8715" max="8715" width="12.28515625" style="64" customWidth="1"/>
    <col min="8716" max="8716" width="12.140625" style="64" customWidth="1"/>
    <col min="8717" max="8717" width="0" style="64" hidden="1" customWidth="1"/>
    <col min="8718" max="8718" width="11.28515625" style="64" customWidth="1"/>
    <col min="8719" max="8719" width="11.140625" style="64" customWidth="1"/>
    <col min="8720" max="8721" width="0" style="64" hidden="1" customWidth="1"/>
    <col min="8722" max="8722" width="8.85546875" style="64" bestFit="1" customWidth="1"/>
    <col min="8723" max="8960" width="11.42578125" style="64"/>
    <col min="8961" max="8961" width="5.28515625" style="64" customWidth="1"/>
    <col min="8962" max="8962" width="25.42578125" style="64" customWidth="1"/>
    <col min="8963" max="8963" width="13" style="64" customWidth="1"/>
    <col min="8964" max="8964" width="9.5703125" style="64" customWidth="1"/>
    <col min="8965" max="8965" width="12" style="64" customWidth="1"/>
    <col min="8966" max="8966" width="12.28515625" style="64" customWidth="1"/>
    <col min="8967" max="8967" width="11.28515625" style="64" customWidth="1"/>
    <col min="8968" max="8968" width="10.85546875" style="64" customWidth="1"/>
    <col min="8969" max="8969" width="11.5703125" style="64" customWidth="1"/>
    <col min="8970" max="8970" width="12.5703125" style="64" customWidth="1"/>
    <col min="8971" max="8971" width="12.28515625" style="64" customWidth="1"/>
    <col min="8972" max="8972" width="12.140625" style="64" customWidth="1"/>
    <col min="8973" max="8973" width="0" style="64" hidden="1" customWidth="1"/>
    <col min="8974" max="8974" width="11.28515625" style="64" customWidth="1"/>
    <col min="8975" max="8975" width="11.140625" style="64" customWidth="1"/>
    <col min="8976" max="8977" width="0" style="64" hidden="1" customWidth="1"/>
    <col min="8978" max="8978" width="8.85546875" style="64" bestFit="1" customWidth="1"/>
    <col min="8979" max="9216" width="11.42578125" style="64"/>
    <col min="9217" max="9217" width="5.28515625" style="64" customWidth="1"/>
    <col min="9218" max="9218" width="25.42578125" style="64" customWidth="1"/>
    <col min="9219" max="9219" width="13" style="64" customWidth="1"/>
    <col min="9220" max="9220" width="9.5703125" style="64" customWidth="1"/>
    <col min="9221" max="9221" width="12" style="64" customWidth="1"/>
    <col min="9222" max="9222" width="12.28515625" style="64" customWidth="1"/>
    <col min="9223" max="9223" width="11.28515625" style="64" customWidth="1"/>
    <col min="9224" max="9224" width="10.85546875" style="64" customWidth="1"/>
    <col min="9225" max="9225" width="11.5703125" style="64" customWidth="1"/>
    <col min="9226" max="9226" width="12.5703125" style="64" customWidth="1"/>
    <col min="9227" max="9227" width="12.28515625" style="64" customWidth="1"/>
    <col min="9228" max="9228" width="12.140625" style="64" customWidth="1"/>
    <col min="9229" max="9229" width="0" style="64" hidden="1" customWidth="1"/>
    <col min="9230" max="9230" width="11.28515625" style="64" customWidth="1"/>
    <col min="9231" max="9231" width="11.140625" style="64" customWidth="1"/>
    <col min="9232" max="9233" width="0" style="64" hidden="1" customWidth="1"/>
    <col min="9234" max="9234" width="8.85546875" style="64" bestFit="1" customWidth="1"/>
    <col min="9235" max="9472" width="11.42578125" style="64"/>
    <col min="9473" max="9473" width="5.28515625" style="64" customWidth="1"/>
    <col min="9474" max="9474" width="25.42578125" style="64" customWidth="1"/>
    <col min="9475" max="9475" width="13" style="64" customWidth="1"/>
    <col min="9476" max="9476" width="9.5703125" style="64" customWidth="1"/>
    <col min="9477" max="9477" width="12" style="64" customWidth="1"/>
    <col min="9478" max="9478" width="12.28515625" style="64" customWidth="1"/>
    <col min="9479" max="9479" width="11.28515625" style="64" customWidth="1"/>
    <col min="9480" max="9480" width="10.85546875" style="64" customWidth="1"/>
    <col min="9481" max="9481" width="11.5703125" style="64" customWidth="1"/>
    <col min="9482" max="9482" width="12.5703125" style="64" customWidth="1"/>
    <col min="9483" max="9483" width="12.28515625" style="64" customWidth="1"/>
    <col min="9484" max="9484" width="12.140625" style="64" customWidth="1"/>
    <col min="9485" max="9485" width="0" style="64" hidden="1" customWidth="1"/>
    <col min="9486" max="9486" width="11.28515625" style="64" customWidth="1"/>
    <col min="9487" max="9487" width="11.140625" style="64" customWidth="1"/>
    <col min="9488" max="9489" width="0" style="64" hidden="1" customWidth="1"/>
    <col min="9490" max="9490" width="8.85546875" style="64" bestFit="1" customWidth="1"/>
    <col min="9491" max="9728" width="11.42578125" style="64"/>
    <col min="9729" max="9729" width="5.28515625" style="64" customWidth="1"/>
    <col min="9730" max="9730" width="25.42578125" style="64" customWidth="1"/>
    <col min="9731" max="9731" width="13" style="64" customWidth="1"/>
    <col min="9732" max="9732" width="9.5703125" style="64" customWidth="1"/>
    <col min="9733" max="9733" width="12" style="64" customWidth="1"/>
    <col min="9734" max="9734" width="12.28515625" style="64" customWidth="1"/>
    <col min="9735" max="9735" width="11.28515625" style="64" customWidth="1"/>
    <col min="9736" max="9736" width="10.85546875" style="64" customWidth="1"/>
    <col min="9737" max="9737" width="11.5703125" style="64" customWidth="1"/>
    <col min="9738" max="9738" width="12.5703125" style="64" customWidth="1"/>
    <col min="9739" max="9739" width="12.28515625" style="64" customWidth="1"/>
    <col min="9740" max="9740" width="12.140625" style="64" customWidth="1"/>
    <col min="9741" max="9741" width="0" style="64" hidden="1" customWidth="1"/>
    <col min="9742" max="9742" width="11.28515625" style="64" customWidth="1"/>
    <col min="9743" max="9743" width="11.140625" style="64" customWidth="1"/>
    <col min="9744" max="9745" width="0" style="64" hidden="1" customWidth="1"/>
    <col min="9746" max="9746" width="8.85546875" style="64" bestFit="1" customWidth="1"/>
    <col min="9747" max="9984" width="11.42578125" style="64"/>
    <col min="9985" max="9985" width="5.28515625" style="64" customWidth="1"/>
    <col min="9986" max="9986" width="25.42578125" style="64" customWidth="1"/>
    <col min="9987" max="9987" width="13" style="64" customWidth="1"/>
    <col min="9988" max="9988" width="9.5703125" style="64" customWidth="1"/>
    <col min="9989" max="9989" width="12" style="64" customWidth="1"/>
    <col min="9990" max="9990" width="12.28515625" style="64" customWidth="1"/>
    <col min="9991" max="9991" width="11.28515625" style="64" customWidth="1"/>
    <col min="9992" max="9992" width="10.85546875" style="64" customWidth="1"/>
    <col min="9993" max="9993" width="11.5703125" style="64" customWidth="1"/>
    <col min="9994" max="9994" width="12.5703125" style="64" customWidth="1"/>
    <col min="9995" max="9995" width="12.28515625" style="64" customWidth="1"/>
    <col min="9996" max="9996" width="12.140625" style="64" customWidth="1"/>
    <col min="9997" max="9997" width="0" style="64" hidden="1" customWidth="1"/>
    <col min="9998" max="9998" width="11.28515625" style="64" customWidth="1"/>
    <col min="9999" max="9999" width="11.140625" style="64" customWidth="1"/>
    <col min="10000" max="10001" width="0" style="64" hidden="1" customWidth="1"/>
    <col min="10002" max="10002" width="8.85546875" style="64" bestFit="1" customWidth="1"/>
    <col min="10003" max="10240" width="11.42578125" style="64"/>
    <col min="10241" max="10241" width="5.28515625" style="64" customWidth="1"/>
    <col min="10242" max="10242" width="25.42578125" style="64" customWidth="1"/>
    <col min="10243" max="10243" width="13" style="64" customWidth="1"/>
    <col min="10244" max="10244" width="9.5703125" style="64" customWidth="1"/>
    <col min="10245" max="10245" width="12" style="64" customWidth="1"/>
    <col min="10246" max="10246" width="12.28515625" style="64" customWidth="1"/>
    <col min="10247" max="10247" width="11.28515625" style="64" customWidth="1"/>
    <col min="10248" max="10248" width="10.85546875" style="64" customWidth="1"/>
    <col min="10249" max="10249" width="11.5703125" style="64" customWidth="1"/>
    <col min="10250" max="10250" width="12.5703125" style="64" customWidth="1"/>
    <col min="10251" max="10251" width="12.28515625" style="64" customWidth="1"/>
    <col min="10252" max="10252" width="12.140625" style="64" customWidth="1"/>
    <col min="10253" max="10253" width="0" style="64" hidden="1" customWidth="1"/>
    <col min="10254" max="10254" width="11.28515625" style="64" customWidth="1"/>
    <col min="10255" max="10255" width="11.140625" style="64" customWidth="1"/>
    <col min="10256" max="10257" width="0" style="64" hidden="1" customWidth="1"/>
    <col min="10258" max="10258" width="8.85546875" style="64" bestFit="1" customWidth="1"/>
    <col min="10259" max="10496" width="11.42578125" style="64"/>
    <col min="10497" max="10497" width="5.28515625" style="64" customWidth="1"/>
    <col min="10498" max="10498" width="25.42578125" style="64" customWidth="1"/>
    <col min="10499" max="10499" width="13" style="64" customWidth="1"/>
    <col min="10500" max="10500" width="9.5703125" style="64" customWidth="1"/>
    <col min="10501" max="10501" width="12" style="64" customWidth="1"/>
    <col min="10502" max="10502" width="12.28515625" style="64" customWidth="1"/>
    <col min="10503" max="10503" width="11.28515625" style="64" customWidth="1"/>
    <col min="10504" max="10504" width="10.85546875" style="64" customWidth="1"/>
    <col min="10505" max="10505" width="11.5703125" style="64" customWidth="1"/>
    <col min="10506" max="10506" width="12.5703125" style="64" customWidth="1"/>
    <col min="10507" max="10507" width="12.28515625" style="64" customWidth="1"/>
    <col min="10508" max="10508" width="12.140625" style="64" customWidth="1"/>
    <col min="10509" max="10509" width="0" style="64" hidden="1" customWidth="1"/>
    <col min="10510" max="10510" width="11.28515625" style="64" customWidth="1"/>
    <col min="10511" max="10511" width="11.140625" style="64" customWidth="1"/>
    <col min="10512" max="10513" width="0" style="64" hidden="1" customWidth="1"/>
    <col min="10514" max="10514" width="8.85546875" style="64" bestFit="1" customWidth="1"/>
    <col min="10515" max="10752" width="11.42578125" style="64"/>
    <col min="10753" max="10753" width="5.28515625" style="64" customWidth="1"/>
    <col min="10754" max="10754" width="25.42578125" style="64" customWidth="1"/>
    <col min="10755" max="10755" width="13" style="64" customWidth="1"/>
    <col min="10756" max="10756" width="9.5703125" style="64" customWidth="1"/>
    <col min="10757" max="10757" width="12" style="64" customWidth="1"/>
    <col min="10758" max="10758" width="12.28515625" style="64" customWidth="1"/>
    <col min="10759" max="10759" width="11.28515625" style="64" customWidth="1"/>
    <col min="10760" max="10760" width="10.85546875" style="64" customWidth="1"/>
    <col min="10761" max="10761" width="11.5703125" style="64" customWidth="1"/>
    <col min="10762" max="10762" width="12.5703125" style="64" customWidth="1"/>
    <col min="10763" max="10763" width="12.28515625" style="64" customWidth="1"/>
    <col min="10764" max="10764" width="12.140625" style="64" customWidth="1"/>
    <col min="10765" max="10765" width="0" style="64" hidden="1" customWidth="1"/>
    <col min="10766" max="10766" width="11.28515625" style="64" customWidth="1"/>
    <col min="10767" max="10767" width="11.140625" style="64" customWidth="1"/>
    <col min="10768" max="10769" width="0" style="64" hidden="1" customWidth="1"/>
    <col min="10770" max="10770" width="8.85546875" style="64" bestFit="1" customWidth="1"/>
    <col min="10771" max="11008" width="11.42578125" style="64"/>
    <col min="11009" max="11009" width="5.28515625" style="64" customWidth="1"/>
    <col min="11010" max="11010" width="25.42578125" style="64" customWidth="1"/>
    <col min="11011" max="11011" width="13" style="64" customWidth="1"/>
    <col min="11012" max="11012" width="9.5703125" style="64" customWidth="1"/>
    <col min="11013" max="11013" width="12" style="64" customWidth="1"/>
    <col min="11014" max="11014" width="12.28515625" style="64" customWidth="1"/>
    <col min="11015" max="11015" width="11.28515625" style="64" customWidth="1"/>
    <col min="11016" max="11016" width="10.85546875" style="64" customWidth="1"/>
    <col min="11017" max="11017" width="11.5703125" style="64" customWidth="1"/>
    <col min="11018" max="11018" width="12.5703125" style="64" customWidth="1"/>
    <col min="11019" max="11019" width="12.28515625" style="64" customWidth="1"/>
    <col min="11020" max="11020" width="12.140625" style="64" customWidth="1"/>
    <col min="11021" max="11021" width="0" style="64" hidden="1" customWidth="1"/>
    <col min="11022" max="11022" width="11.28515625" style="64" customWidth="1"/>
    <col min="11023" max="11023" width="11.140625" style="64" customWidth="1"/>
    <col min="11024" max="11025" width="0" style="64" hidden="1" customWidth="1"/>
    <col min="11026" max="11026" width="8.85546875" style="64" bestFit="1" customWidth="1"/>
    <col min="11027" max="11264" width="11.42578125" style="64"/>
    <col min="11265" max="11265" width="5.28515625" style="64" customWidth="1"/>
    <col min="11266" max="11266" width="25.42578125" style="64" customWidth="1"/>
    <col min="11267" max="11267" width="13" style="64" customWidth="1"/>
    <col min="11268" max="11268" width="9.5703125" style="64" customWidth="1"/>
    <col min="11269" max="11269" width="12" style="64" customWidth="1"/>
    <col min="11270" max="11270" width="12.28515625" style="64" customWidth="1"/>
    <col min="11271" max="11271" width="11.28515625" style="64" customWidth="1"/>
    <col min="11272" max="11272" width="10.85546875" style="64" customWidth="1"/>
    <col min="11273" max="11273" width="11.5703125" style="64" customWidth="1"/>
    <col min="11274" max="11274" width="12.5703125" style="64" customWidth="1"/>
    <col min="11275" max="11275" width="12.28515625" style="64" customWidth="1"/>
    <col min="11276" max="11276" width="12.140625" style="64" customWidth="1"/>
    <col min="11277" max="11277" width="0" style="64" hidden="1" customWidth="1"/>
    <col min="11278" max="11278" width="11.28515625" style="64" customWidth="1"/>
    <col min="11279" max="11279" width="11.140625" style="64" customWidth="1"/>
    <col min="11280" max="11281" width="0" style="64" hidden="1" customWidth="1"/>
    <col min="11282" max="11282" width="8.85546875" style="64" bestFit="1" customWidth="1"/>
    <col min="11283" max="11520" width="11.42578125" style="64"/>
    <col min="11521" max="11521" width="5.28515625" style="64" customWidth="1"/>
    <col min="11522" max="11522" width="25.42578125" style="64" customWidth="1"/>
    <col min="11523" max="11523" width="13" style="64" customWidth="1"/>
    <col min="11524" max="11524" width="9.5703125" style="64" customWidth="1"/>
    <col min="11525" max="11525" width="12" style="64" customWidth="1"/>
    <col min="11526" max="11526" width="12.28515625" style="64" customWidth="1"/>
    <col min="11527" max="11527" width="11.28515625" style="64" customWidth="1"/>
    <col min="11528" max="11528" width="10.85546875" style="64" customWidth="1"/>
    <col min="11529" max="11529" width="11.5703125" style="64" customWidth="1"/>
    <col min="11530" max="11530" width="12.5703125" style="64" customWidth="1"/>
    <col min="11531" max="11531" width="12.28515625" style="64" customWidth="1"/>
    <col min="11532" max="11532" width="12.140625" style="64" customWidth="1"/>
    <col min="11533" max="11533" width="0" style="64" hidden="1" customWidth="1"/>
    <col min="11534" max="11534" width="11.28515625" style="64" customWidth="1"/>
    <col min="11535" max="11535" width="11.140625" style="64" customWidth="1"/>
    <col min="11536" max="11537" width="0" style="64" hidden="1" customWidth="1"/>
    <col min="11538" max="11538" width="8.85546875" style="64" bestFit="1" customWidth="1"/>
    <col min="11539" max="11776" width="11.42578125" style="64"/>
    <col min="11777" max="11777" width="5.28515625" style="64" customWidth="1"/>
    <col min="11778" max="11778" width="25.42578125" style="64" customWidth="1"/>
    <col min="11779" max="11779" width="13" style="64" customWidth="1"/>
    <col min="11780" max="11780" width="9.5703125" style="64" customWidth="1"/>
    <col min="11781" max="11781" width="12" style="64" customWidth="1"/>
    <col min="11782" max="11782" width="12.28515625" style="64" customWidth="1"/>
    <col min="11783" max="11783" width="11.28515625" style="64" customWidth="1"/>
    <col min="11784" max="11784" width="10.85546875" style="64" customWidth="1"/>
    <col min="11785" max="11785" width="11.5703125" style="64" customWidth="1"/>
    <col min="11786" max="11786" width="12.5703125" style="64" customWidth="1"/>
    <col min="11787" max="11787" width="12.28515625" style="64" customWidth="1"/>
    <col min="11788" max="11788" width="12.140625" style="64" customWidth="1"/>
    <col min="11789" max="11789" width="0" style="64" hidden="1" customWidth="1"/>
    <col min="11790" max="11790" width="11.28515625" style="64" customWidth="1"/>
    <col min="11791" max="11791" width="11.140625" style="64" customWidth="1"/>
    <col min="11792" max="11793" width="0" style="64" hidden="1" customWidth="1"/>
    <col min="11794" max="11794" width="8.85546875" style="64" bestFit="1" customWidth="1"/>
    <col min="11795" max="12032" width="11.42578125" style="64"/>
    <col min="12033" max="12033" width="5.28515625" style="64" customWidth="1"/>
    <col min="12034" max="12034" width="25.42578125" style="64" customWidth="1"/>
    <col min="12035" max="12035" width="13" style="64" customWidth="1"/>
    <col min="12036" max="12036" width="9.5703125" style="64" customWidth="1"/>
    <col min="12037" max="12037" width="12" style="64" customWidth="1"/>
    <col min="12038" max="12038" width="12.28515625" style="64" customWidth="1"/>
    <col min="12039" max="12039" width="11.28515625" style="64" customWidth="1"/>
    <col min="12040" max="12040" width="10.85546875" style="64" customWidth="1"/>
    <col min="12041" max="12041" width="11.5703125" style="64" customWidth="1"/>
    <col min="12042" max="12042" width="12.5703125" style="64" customWidth="1"/>
    <col min="12043" max="12043" width="12.28515625" style="64" customWidth="1"/>
    <col min="12044" max="12044" width="12.140625" style="64" customWidth="1"/>
    <col min="12045" max="12045" width="0" style="64" hidden="1" customWidth="1"/>
    <col min="12046" max="12046" width="11.28515625" style="64" customWidth="1"/>
    <col min="12047" max="12047" width="11.140625" style="64" customWidth="1"/>
    <col min="12048" max="12049" width="0" style="64" hidden="1" customWidth="1"/>
    <col min="12050" max="12050" width="8.85546875" style="64" bestFit="1" customWidth="1"/>
    <col min="12051" max="12288" width="11.42578125" style="64"/>
    <col min="12289" max="12289" width="5.28515625" style="64" customWidth="1"/>
    <col min="12290" max="12290" width="25.42578125" style="64" customWidth="1"/>
    <col min="12291" max="12291" width="13" style="64" customWidth="1"/>
    <col min="12292" max="12292" width="9.5703125" style="64" customWidth="1"/>
    <col min="12293" max="12293" width="12" style="64" customWidth="1"/>
    <col min="12294" max="12294" width="12.28515625" style="64" customWidth="1"/>
    <col min="12295" max="12295" width="11.28515625" style="64" customWidth="1"/>
    <col min="12296" max="12296" width="10.85546875" style="64" customWidth="1"/>
    <col min="12297" max="12297" width="11.5703125" style="64" customWidth="1"/>
    <col min="12298" max="12298" width="12.5703125" style="64" customWidth="1"/>
    <col min="12299" max="12299" width="12.28515625" style="64" customWidth="1"/>
    <col min="12300" max="12300" width="12.140625" style="64" customWidth="1"/>
    <col min="12301" max="12301" width="0" style="64" hidden="1" customWidth="1"/>
    <col min="12302" max="12302" width="11.28515625" style="64" customWidth="1"/>
    <col min="12303" max="12303" width="11.140625" style="64" customWidth="1"/>
    <col min="12304" max="12305" width="0" style="64" hidden="1" customWidth="1"/>
    <col min="12306" max="12306" width="8.85546875" style="64" bestFit="1" customWidth="1"/>
    <col min="12307" max="12544" width="11.42578125" style="64"/>
    <col min="12545" max="12545" width="5.28515625" style="64" customWidth="1"/>
    <col min="12546" max="12546" width="25.42578125" style="64" customWidth="1"/>
    <col min="12547" max="12547" width="13" style="64" customWidth="1"/>
    <col min="12548" max="12548" width="9.5703125" style="64" customWidth="1"/>
    <col min="12549" max="12549" width="12" style="64" customWidth="1"/>
    <col min="12550" max="12550" width="12.28515625" style="64" customWidth="1"/>
    <col min="12551" max="12551" width="11.28515625" style="64" customWidth="1"/>
    <col min="12552" max="12552" width="10.85546875" style="64" customWidth="1"/>
    <col min="12553" max="12553" width="11.5703125" style="64" customWidth="1"/>
    <col min="12554" max="12554" width="12.5703125" style="64" customWidth="1"/>
    <col min="12555" max="12555" width="12.28515625" style="64" customWidth="1"/>
    <col min="12556" max="12556" width="12.140625" style="64" customWidth="1"/>
    <col min="12557" max="12557" width="0" style="64" hidden="1" customWidth="1"/>
    <col min="12558" max="12558" width="11.28515625" style="64" customWidth="1"/>
    <col min="12559" max="12559" width="11.140625" style="64" customWidth="1"/>
    <col min="12560" max="12561" width="0" style="64" hidden="1" customWidth="1"/>
    <col min="12562" max="12562" width="8.85546875" style="64" bestFit="1" customWidth="1"/>
    <col min="12563" max="12800" width="11.42578125" style="64"/>
    <col min="12801" max="12801" width="5.28515625" style="64" customWidth="1"/>
    <col min="12802" max="12802" width="25.42578125" style="64" customWidth="1"/>
    <col min="12803" max="12803" width="13" style="64" customWidth="1"/>
    <col min="12804" max="12804" width="9.5703125" style="64" customWidth="1"/>
    <col min="12805" max="12805" width="12" style="64" customWidth="1"/>
    <col min="12806" max="12806" width="12.28515625" style="64" customWidth="1"/>
    <col min="12807" max="12807" width="11.28515625" style="64" customWidth="1"/>
    <col min="12808" max="12808" width="10.85546875" style="64" customWidth="1"/>
    <col min="12809" max="12809" width="11.5703125" style="64" customWidth="1"/>
    <col min="12810" max="12810" width="12.5703125" style="64" customWidth="1"/>
    <col min="12811" max="12811" width="12.28515625" style="64" customWidth="1"/>
    <col min="12812" max="12812" width="12.140625" style="64" customWidth="1"/>
    <col min="12813" max="12813" width="0" style="64" hidden="1" customWidth="1"/>
    <col min="12814" max="12814" width="11.28515625" style="64" customWidth="1"/>
    <col min="12815" max="12815" width="11.140625" style="64" customWidth="1"/>
    <col min="12816" max="12817" width="0" style="64" hidden="1" customWidth="1"/>
    <col min="12818" max="12818" width="8.85546875" style="64" bestFit="1" customWidth="1"/>
    <col min="12819" max="13056" width="11.42578125" style="64"/>
    <col min="13057" max="13057" width="5.28515625" style="64" customWidth="1"/>
    <col min="13058" max="13058" width="25.42578125" style="64" customWidth="1"/>
    <col min="13059" max="13059" width="13" style="64" customWidth="1"/>
    <col min="13060" max="13060" width="9.5703125" style="64" customWidth="1"/>
    <col min="13061" max="13061" width="12" style="64" customWidth="1"/>
    <col min="13062" max="13062" width="12.28515625" style="64" customWidth="1"/>
    <col min="13063" max="13063" width="11.28515625" style="64" customWidth="1"/>
    <col min="13064" max="13064" width="10.85546875" style="64" customWidth="1"/>
    <col min="13065" max="13065" width="11.5703125" style="64" customWidth="1"/>
    <col min="13066" max="13066" width="12.5703125" style="64" customWidth="1"/>
    <col min="13067" max="13067" width="12.28515625" style="64" customWidth="1"/>
    <col min="13068" max="13068" width="12.140625" style="64" customWidth="1"/>
    <col min="13069" max="13069" width="0" style="64" hidden="1" customWidth="1"/>
    <col min="13070" max="13070" width="11.28515625" style="64" customWidth="1"/>
    <col min="13071" max="13071" width="11.140625" style="64" customWidth="1"/>
    <col min="13072" max="13073" width="0" style="64" hidden="1" customWidth="1"/>
    <col min="13074" max="13074" width="8.85546875" style="64" bestFit="1" customWidth="1"/>
    <col min="13075" max="13312" width="11.42578125" style="64"/>
    <col min="13313" max="13313" width="5.28515625" style="64" customWidth="1"/>
    <col min="13314" max="13314" width="25.42578125" style="64" customWidth="1"/>
    <col min="13315" max="13315" width="13" style="64" customWidth="1"/>
    <col min="13316" max="13316" width="9.5703125" style="64" customWidth="1"/>
    <col min="13317" max="13317" width="12" style="64" customWidth="1"/>
    <col min="13318" max="13318" width="12.28515625" style="64" customWidth="1"/>
    <col min="13319" max="13319" width="11.28515625" style="64" customWidth="1"/>
    <col min="13320" max="13320" width="10.85546875" style="64" customWidth="1"/>
    <col min="13321" max="13321" width="11.5703125" style="64" customWidth="1"/>
    <col min="13322" max="13322" width="12.5703125" style="64" customWidth="1"/>
    <col min="13323" max="13323" width="12.28515625" style="64" customWidth="1"/>
    <col min="13324" max="13324" width="12.140625" style="64" customWidth="1"/>
    <col min="13325" max="13325" width="0" style="64" hidden="1" customWidth="1"/>
    <col min="13326" max="13326" width="11.28515625" style="64" customWidth="1"/>
    <col min="13327" max="13327" width="11.140625" style="64" customWidth="1"/>
    <col min="13328" max="13329" width="0" style="64" hidden="1" customWidth="1"/>
    <col min="13330" max="13330" width="8.85546875" style="64" bestFit="1" customWidth="1"/>
    <col min="13331" max="13568" width="11.42578125" style="64"/>
    <col min="13569" max="13569" width="5.28515625" style="64" customWidth="1"/>
    <col min="13570" max="13570" width="25.42578125" style="64" customWidth="1"/>
    <col min="13571" max="13571" width="13" style="64" customWidth="1"/>
    <col min="13572" max="13572" width="9.5703125" style="64" customWidth="1"/>
    <col min="13573" max="13573" width="12" style="64" customWidth="1"/>
    <col min="13574" max="13574" width="12.28515625" style="64" customWidth="1"/>
    <col min="13575" max="13575" width="11.28515625" style="64" customWidth="1"/>
    <col min="13576" max="13576" width="10.85546875" style="64" customWidth="1"/>
    <col min="13577" max="13577" width="11.5703125" style="64" customWidth="1"/>
    <col min="13578" max="13578" width="12.5703125" style="64" customWidth="1"/>
    <col min="13579" max="13579" width="12.28515625" style="64" customWidth="1"/>
    <col min="13580" max="13580" width="12.140625" style="64" customWidth="1"/>
    <col min="13581" max="13581" width="0" style="64" hidden="1" customWidth="1"/>
    <col min="13582" max="13582" width="11.28515625" style="64" customWidth="1"/>
    <col min="13583" max="13583" width="11.140625" style="64" customWidth="1"/>
    <col min="13584" max="13585" width="0" style="64" hidden="1" customWidth="1"/>
    <col min="13586" max="13586" width="8.85546875" style="64" bestFit="1" customWidth="1"/>
    <col min="13587" max="13824" width="11.42578125" style="64"/>
    <col min="13825" max="13825" width="5.28515625" style="64" customWidth="1"/>
    <col min="13826" max="13826" width="25.42578125" style="64" customWidth="1"/>
    <col min="13827" max="13827" width="13" style="64" customWidth="1"/>
    <col min="13828" max="13828" width="9.5703125" style="64" customWidth="1"/>
    <col min="13829" max="13829" width="12" style="64" customWidth="1"/>
    <col min="13830" max="13830" width="12.28515625" style="64" customWidth="1"/>
    <col min="13831" max="13831" width="11.28515625" style="64" customWidth="1"/>
    <col min="13832" max="13832" width="10.85546875" style="64" customWidth="1"/>
    <col min="13833" max="13833" width="11.5703125" style="64" customWidth="1"/>
    <col min="13834" max="13834" width="12.5703125" style="64" customWidth="1"/>
    <col min="13835" max="13835" width="12.28515625" style="64" customWidth="1"/>
    <col min="13836" max="13836" width="12.140625" style="64" customWidth="1"/>
    <col min="13837" max="13837" width="0" style="64" hidden="1" customWidth="1"/>
    <col min="13838" max="13838" width="11.28515625" style="64" customWidth="1"/>
    <col min="13839" max="13839" width="11.140625" style="64" customWidth="1"/>
    <col min="13840" max="13841" width="0" style="64" hidden="1" customWidth="1"/>
    <col min="13842" max="13842" width="8.85546875" style="64" bestFit="1" customWidth="1"/>
    <col min="13843" max="14080" width="11.42578125" style="64"/>
    <col min="14081" max="14081" width="5.28515625" style="64" customWidth="1"/>
    <col min="14082" max="14082" width="25.42578125" style="64" customWidth="1"/>
    <col min="14083" max="14083" width="13" style="64" customWidth="1"/>
    <col min="14084" max="14084" width="9.5703125" style="64" customWidth="1"/>
    <col min="14085" max="14085" width="12" style="64" customWidth="1"/>
    <col min="14086" max="14086" width="12.28515625" style="64" customWidth="1"/>
    <col min="14087" max="14087" width="11.28515625" style="64" customWidth="1"/>
    <col min="14088" max="14088" width="10.85546875" style="64" customWidth="1"/>
    <col min="14089" max="14089" width="11.5703125" style="64" customWidth="1"/>
    <col min="14090" max="14090" width="12.5703125" style="64" customWidth="1"/>
    <col min="14091" max="14091" width="12.28515625" style="64" customWidth="1"/>
    <col min="14092" max="14092" width="12.140625" style="64" customWidth="1"/>
    <col min="14093" max="14093" width="0" style="64" hidden="1" customWidth="1"/>
    <col min="14094" max="14094" width="11.28515625" style="64" customWidth="1"/>
    <col min="14095" max="14095" width="11.140625" style="64" customWidth="1"/>
    <col min="14096" max="14097" width="0" style="64" hidden="1" customWidth="1"/>
    <col min="14098" max="14098" width="8.85546875" style="64" bestFit="1" customWidth="1"/>
    <col min="14099" max="14336" width="11.42578125" style="64"/>
    <col min="14337" max="14337" width="5.28515625" style="64" customWidth="1"/>
    <col min="14338" max="14338" width="25.42578125" style="64" customWidth="1"/>
    <col min="14339" max="14339" width="13" style="64" customWidth="1"/>
    <col min="14340" max="14340" width="9.5703125" style="64" customWidth="1"/>
    <col min="14341" max="14341" width="12" style="64" customWidth="1"/>
    <col min="14342" max="14342" width="12.28515625" style="64" customWidth="1"/>
    <col min="14343" max="14343" width="11.28515625" style="64" customWidth="1"/>
    <col min="14344" max="14344" width="10.85546875" style="64" customWidth="1"/>
    <col min="14345" max="14345" width="11.5703125" style="64" customWidth="1"/>
    <col min="14346" max="14346" width="12.5703125" style="64" customWidth="1"/>
    <col min="14347" max="14347" width="12.28515625" style="64" customWidth="1"/>
    <col min="14348" max="14348" width="12.140625" style="64" customWidth="1"/>
    <col min="14349" max="14349" width="0" style="64" hidden="1" customWidth="1"/>
    <col min="14350" max="14350" width="11.28515625" style="64" customWidth="1"/>
    <col min="14351" max="14351" width="11.140625" style="64" customWidth="1"/>
    <col min="14352" max="14353" width="0" style="64" hidden="1" customWidth="1"/>
    <col min="14354" max="14354" width="8.85546875" style="64" bestFit="1" customWidth="1"/>
    <col min="14355" max="14592" width="11.42578125" style="64"/>
    <col min="14593" max="14593" width="5.28515625" style="64" customWidth="1"/>
    <col min="14594" max="14594" width="25.42578125" style="64" customWidth="1"/>
    <col min="14595" max="14595" width="13" style="64" customWidth="1"/>
    <col min="14596" max="14596" width="9.5703125" style="64" customWidth="1"/>
    <col min="14597" max="14597" width="12" style="64" customWidth="1"/>
    <col min="14598" max="14598" width="12.28515625" style="64" customWidth="1"/>
    <col min="14599" max="14599" width="11.28515625" style="64" customWidth="1"/>
    <col min="14600" max="14600" width="10.85546875" style="64" customWidth="1"/>
    <col min="14601" max="14601" width="11.5703125" style="64" customWidth="1"/>
    <col min="14602" max="14602" width="12.5703125" style="64" customWidth="1"/>
    <col min="14603" max="14603" width="12.28515625" style="64" customWidth="1"/>
    <col min="14604" max="14604" width="12.140625" style="64" customWidth="1"/>
    <col min="14605" max="14605" width="0" style="64" hidden="1" customWidth="1"/>
    <col min="14606" max="14606" width="11.28515625" style="64" customWidth="1"/>
    <col min="14607" max="14607" width="11.140625" style="64" customWidth="1"/>
    <col min="14608" max="14609" width="0" style="64" hidden="1" customWidth="1"/>
    <col min="14610" max="14610" width="8.85546875" style="64" bestFit="1" customWidth="1"/>
    <col min="14611" max="14848" width="11.42578125" style="64"/>
    <col min="14849" max="14849" width="5.28515625" style="64" customWidth="1"/>
    <col min="14850" max="14850" width="25.42578125" style="64" customWidth="1"/>
    <col min="14851" max="14851" width="13" style="64" customWidth="1"/>
    <col min="14852" max="14852" width="9.5703125" style="64" customWidth="1"/>
    <col min="14853" max="14853" width="12" style="64" customWidth="1"/>
    <col min="14854" max="14854" width="12.28515625" style="64" customWidth="1"/>
    <col min="14855" max="14855" width="11.28515625" style="64" customWidth="1"/>
    <col min="14856" max="14856" width="10.85546875" style="64" customWidth="1"/>
    <col min="14857" max="14857" width="11.5703125" style="64" customWidth="1"/>
    <col min="14858" max="14858" width="12.5703125" style="64" customWidth="1"/>
    <col min="14859" max="14859" width="12.28515625" style="64" customWidth="1"/>
    <col min="14860" max="14860" width="12.140625" style="64" customWidth="1"/>
    <col min="14861" max="14861" width="0" style="64" hidden="1" customWidth="1"/>
    <col min="14862" max="14862" width="11.28515625" style="64" customWidth="1"/>
    <col min="14863" max="14863" width="11.140625" style="64" customWidth="1"/>
    <col min="14864" max="14865" width="0" style="64" hidden="1" customWidth="1"/>
    <col min="14866" max="14866" width="8.85546875" style="64" bestFit="1" customWidth="1"/>
    <col min="14867" max="15104" width="11.42578125" style="64"/>
    <col min="15105" max="15105" width="5.28515625" style="64" customWidth="1"/>
    <col min="15106" max="15106" width="25.42578125" style="64" customWidth="1"/>
    <col min="15107" max="15107" width="13" style="64" customWidth="1"/>
    <col min="15108" max="15108" width="9.5703125" style="64" customWidth="1"/>
    <col min="15109" max="15109" width="12" style="64" customWidth="1"/>
    <col min="15110" max="15110" width="12.28515625" style="64" customWidth="1"/>
    <col min="15111" max="15111" width="11.28515625" style="64" customWidth="1"/>
    <col min="15112" max="15112" width="10.85546875" style="64" customWidth="1"/>
    <col min="15113" max="15113" width="11.5703125" style="64" customWidth="1"/>
    <col min="15114" max="15114" width="12.5703125" style="64" customWidth="1"/>
    <col min="15115" max="15115" width="12.28515625" style="64" customWidth="1"/>
    <col min="15116" max="15116" width="12.140625" style="64" customWidth="1"/>
    <col min="15117" max="15117" width="0" style="64" hidden="1" customWidth="1"/>
    <col min="15118" max="15118" width="11.28515625" style="64" customWidth="1"/>
    <col min="15119" max="15119" width="11.140625" style="64" customWidth="1"/>
    <col min="15120" max="15121" width="0" style="64" hidden="1" customWidth="1"/>
    <col min="15122" max="15122" width="8.85546875" style="64" bestFit="1" customWidth="1"/>
    <col min="15123" max="15360" width="11.42578125" style="64"/>
    <col min="15361" max="15361" width="5.28515625" style="64" customWidth="1"/>
    <col min="15362" max="15362" width="25.42578125" style="64" customWidth="1"/>
    <col min="15363" max="15363" width="13" style="64" customWidth="1"/>
    <col min="15364" max="15364" width="9.5703125" style="64" customWidth="1"/>
    <col min="15365" max="15365" width="12" style="64" customWidth="1"/>
    <col min="15366" max="15366" width="12.28515625" style="64" customWidth="1"/>
    <col min="15367" max="15367" width="11.28515625" style="64" customWidth="1"/>
    <col min="15368" max="15368" width="10.85546875" style="64" customWidth="1"/>
    <col min="15369" max="15369" width="11.5703125" style="64" customWidth="1"/>
    <col min="15370" max="15370" width="12.5703125" style="64" customWidth="1"/>
    <col min="15371" max="15371" width="12.28515625" style="64" customWidth="1"/>
    <col min="15372" max="15372" width="12.140625" style="64" customWidth="1"/>
    <col min="15373" max="15373" width="0" style="64" hidden="1" customWidth="1"/>
    <col min="15374" max="15374" width="11.28515625" style="64" customWidth="1"/>
    <col min="15375" max="15375" width="11.140625" style="64" customWidth="1"/>
    <col min="15376" max="15377" width="0" style="64" hidden="1" customWidth="1"/>
    <col min="15378" max="15378" width="8.85546875" style="64" bestFit="1" customWidth="1"/>
    <col min="15379" max="15616" width="11.42578125" style="64"/>
    <col min="15617" max="15617" width="5.28515625" style="64" customWidth="1"/>
    <col min="15618" max="15618" width="25.42578125" style="64" customWidth="1"/>
    <col min="15619" max="15619" width="13" style="64" customWidth="1"/>
    <col min="15620" max="15620" width="9.5703125" style="64" customWidth="1"/>
    <col min="15621" max="15621" width="12" style="64" customWidth="1"/>
    <col min="15622" max="15622" width="12.28515625" style="64" customWidth="1"/>
    <col min="15623" max="15623" width="11.28515625" style="64" customWidth="1"/>
    <col min="15624" max="15624" width="10.85546875" style="64" customWidth="1"/>
    <col min="15625" max="15625" width="11.5703125" style="64" customWidth="1"/>
    <col min="15626" max="15626" width="12.5703125" style="64" customWidth="1"/>
    <col min="15627" max="15627" width="12.28515625" style="64" customWidth="1"/>
    <col min="15628" max="15628" width="12.140625" style="64" customWidth="1"/>
    <col min="15629" max="15629" width="0" style="64" hidden="1" customWidth="1"/>
    <col min="15630" max="15630" width="11.28515625" style="64" customWidth="1"/>
    <col min="15631" max="15631" width="11.140625" style="64" customWidth="1"/>
    <col min="15632" max="15633" width="0" style="64" hidden="1" customWidth="1"/>
    <col min="15634" max="15634" width="8.85546875" style="64" bestFit="1" customWidth="1"/>
    <col min="15635" max="15872" width="11.42578125" style="64"/>
    <col min="15873" max="15873" width="5.28515625" style="64" customWidth="1"/>
    <col min="15874" max="15874" width="25.42578125" style="64" customWidth="1"/>
    <col min="15875" max="15875" width="13" style="64" customWidth="1"/>
    <col min="15876" max="15876" width="9.5703125" style="64" customWidth="1"/>
    <col min="15877" max="15877" width="12" style="64" customWidth="1"/>
    <col min="15878" max="15878" width="12.28515625" style="64" customWidth="1"/>
    <col min="15879" max="15879" width="11.28515625" style="64" customWidth="1"/>
    <col min="15880" max="15880" width="10.85546875" style="64" customWidth="1"/>
    <col min="15881" max="15881" width="11.5703125" style="64" customWidth="1"/>
    <col min="15882" max="15882" width="12.5703125" style="64" customWidth="1"/>
    <col min="15883" max="15883" width="12.28515625" style="64" customWidth="1"/>
    <col min="15884" max="15884" width="12.140625" style="64" customWidth="1"/>
    <col min="15885" max="15885" width="0" style="64" hidden="1" customWidth="1"/>
    <col min="15886" max="15886" width="11.28515625" style="64" customWidth="1"/>
    <col min="15887" max="15887" width="11.140625" style="64" customWidth="1"/>
    <col min="15888" max="15889" width="0" style="64" hidden="1" customWidth="1"/>
    <col min="15890" max="15890" width="8.85546875" style="64" bestFit="1" customWidth="1"/>
    <col min="15891" max="16128" width="11.42578125" style="64"/>
    <col min="16129" max="16129" width="5.28515625" style="64" customWidth="1"/>
    <col min="16130" max="16130" width="25.42578125" style="64" customWidth="1"/>
    <col min="16131" max="16131" width="13" style="64" customWidth="1"/>
    <col min="16132" max="16132" width="9.5703125" style="64" customWidth="1"/>
    <col min="16133" max="16133" width="12" style="64" customWidth="1"/>
    <col min="16134" max="16134" width="12.28515625" style="64" customWidth="1"/>
    <col min="16135" max="16135" width="11.28515625" style="64" customWidth="1"/>
    <col min="16136" max="16136" width="10.85546875" style="64" customWidth="1"/>
    <col min="16137" max="16137" width="11.5703125" style="64" customWidth="1"/>
    <col min="16138" max="16138" width="12.5703125" style="64" customWidth="1"/>
    <col min="16139" max="16139" width="12.28515625" style="64" customWidth="1"/>
    <col min="16140" max="16140" width="12.140625" style="64" customWidth="1"/>
    <col min="16141" max="16141" width="0" style="64" hidden="1" customWidth="1"/>
    <col min="16142" max="16142" width="11.28515625" style="64" customWidth="1"/>
    <col min="16143" max="16143" width="11.140625" style="64" customWidth="1"/>
    <col min="16144" max="16145" width="0" style="64" hidden="1" customWidth="1"/>
    <col min="16146" max="16146" width="8.85546875" style="64" bestFit="1" customWidth="1"/>
    <col min="16147" max="16384" width="11.42578125" style="64"/>
  </cols>
  <sheetData>
    <row r="1" spans="1:18" s="62" customFormat="1" ht="29.45" customHeight="1" x14ac:dyDescent="0.25">
      <c r="A1" s="223" t="s">
        <v>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8" s="62" customFormat="1" ht="21" customHeight="1" x14ac:dyDescent="0.25">
      <c r="A2" s="224" t="s">
        <v>82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8" s="62" customFormat="1" ht="21" customHeight="1" x14ac:dyDescent="0.25">
      <c r="A3" s="224" t="s">
        <v>22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18" s="62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8" ht="19.5" customHeight="1" x14ac:dyDescent="0.25">
      <c r="A5" s="225" t="s">
        <v>23</v>
      </c>
      <c r="B5" s="228" t="s">
        <v>24</v>
      </c>
      <c r="C5" s="228" t="s">
        <v>25</v>
      </c>
      <c r="D5" s="231" t="s">
        <v>26</v>
      </c>
      <c r="E5" s="232"/>
      <c r="F5" s="232"/>
      <c r="G5" s="232"/>
      <c r="H5" s="233"/>
      <c r="I5" s="231" t="s">
        <v>70</v>
      </c>
      <c r="J5" s="232"/>
      <c r="K5" s="232"/>
      <c r="L5" s="232"/>
      <c r="M5" s="232"/>
      <c r="N5" s="232"/>
      <c r="O5" s="232"/>
      <c r="P5" s="232"/>
      <c r="Q5" s="232"/>
      <c r="R5" s="233"/>
    </row>
    <row r="6" spans="1:18" ht="20.25" customHeight="1" x14ac:dyDescent="0.25">
      <c r="A6" s="226"/>
      <c r="B6" s="229"/>
      <c r="C6" s="229"/>
      <c r="D6" s="228" t="s">
        <v>71</v>
      </c>
      <c r="E6" s="228" t="s">
        <v>28</v>
      </c>
      <c r="F6" s="228" t="s">
        <v>29</v>
      </c>
      <c r="G6" s="216" t="s">
        <v>30</v>
      </c>
      <c r="H6" s="216"/>
      <c r="I6" s="216" t="s">
        <v>31</v>
      </c>
      <c r="J6" s="216" t="s">
        <v>32</v>
      </c>
      <c r="K6" s="216" t="s">
        <v>33</v>
      </c>
      <c r="L6" s="216" t="s">
        <v>34</v>
      </c>
      <c r="M6" s="228" t="s">
        <v>35</v>
      </c>
      <c r="N6" s="228" t="s">
        <v>36</v>
      </c>
      <c r="O6" s="216" t="s">
        <v>37</v>
      </c>
      <c r="P6" s="216" t="s">
        <v>38</v>
      </c>
      <c r="Q6" s="216"/>
      <c r="R6" s="216" t="s">
        <v>39</v>
      </c>
    </row>
    <row r="7" spans="1:18" ht="21.75" customHeight="1" x14ac:dyDescent="0.25">
      <c r="A7" s="227"/>
      <c r="B7" s="230"/>
      <c r="C7" s="230"/>
      <c r="D7" s="230"/>
      <c r="E7" s="230"/>
      <c r="F7" s="230"/>
      <c r="G7" s="25" t="s">
        <v>40</v>
      </c>
      <c r="H7" s="25" t="s">
        <v>0</v>
      </c>
      <c r="I7" s="216"/>
      <c r="J7" s="216"/>
      <c r="K7" s="216"/>
      <c r="L7" s="216"/>
      <c r="M7" s="230"/>
      <c r="N7" s="230"/>
      <c r="O7" s="216"/>
      <c r="P7" s="25" t="s">
        <v>41</v>
      </c>
      <c r="Q7" s="25" t="s">
        <v>0</v>
      </c>
      <c r="R7" s="216"/>
    </row>
    <row r="8" spans="1:18" s="67" customFormat="1" ht="38.25" customHeight="1" x14ac:dyDescent="0.25">
      <c r="A8" s="26">
        <v>1</v>
      </c>
      <c r="B8" s="27" t="s">
        <v>72</v>
      </c>
      <c r="C8" s="65" t="s">
        <v>88</v>
      </c>
      <c r="D8" s="29">
        <v>1</v>
      </c>
      <c r="E8" s="72">
        <v>0</v>
      </c>
      <c r="F8" s="72">
        <v>0</v>
      </c>
      <c r="G8" s="54">
        <f t="shared" ref="G8:G13" si="0">F8-E8</f>
        <v>0</v>
      </c>
      <c r="H8" s="55">
        <v>0</v>
      </c>
      <c r="I8" s="56"/>
      <c r="J8" s="56"/>
      <c r="K8" s="56"/>
      <c r="L8" s="56"/>
      <c r="M8" s="56"/>
      <c r="N8" s="56"/>
      <c r="O8" s="56">
        <v>0</v>
      </c>
      <c r="P8" s="56">
        <f t="shared" ref="P8:P13" si="1">N8-O8</f>
        <v>0</v>
      </c>
      <c r="Q8" s="66" t="e">
        <f>(M8/O8)-1</f>
        <v>#DIV/0!</v>
      </c>
      <c r="R8" s="30" t="s">
        <v>6</v>
      </c>
    </row>
    <row r="9" spans="1:18" ht="38.25" customHeight="1" x14ac:dyDescent="0.25">
      <c r="A9" s="26">
        <f>1+A8</f>
        <v>2</v>
      </c>
      <c r="B9" s="27" t="s">
        <v>48</v>
      </c>
      <c r="C9" s="68" t="s">
        <v>73</v>
      </c>
      <c r="D9" s="29">
        <v>1</v>
      </c>
      <c r="E9" s="72">
        <v>0</v>
      </c>
      <c r="F9" s="72">
        <v>0</v>
      </c>
      <c r="G9" s="54">
        <f t="shared" si="0"/>
        <v>0</v>
      </c>
      <c r="H9" s="55">
        <v>0</v>
      </c>
      <c r="I9" s="56"/>
      <c r="J9" s="56"/>
      <c r="K9" s="56"/>
      <c r="L9" s="56"/>
      <c r="M9" s="56"/>
      <c r="N9" s="56"/>
      <c r="O9" s="56">
        <v>872</v>
      </c>
      <c r="P9" s="56">
        <f t="shared" si="1"/>
        <v>-872</v>
      </c>
      <c r="Q9" s="66">
        <f>(M9/O9)-1</f>
        <v>-1</v>
      </c>
      <c r="R9" s="30" t="s">
        <v>8</v>
      </c>
    </row>
    <row r="10" spans="1:18" s="67" customFormat="1" ht="38.25" customHeight="1" x14ac:dyDescent="0.25">
      <c r="A10" s="26">
        <f t="shared" ref="A10:A13" si="2">1+A9</f>
        <v>3</v>
      </c>
      <c r="B10" s="27" t="s">
        <v>74</v>
      </c>
      <c r="C10" s="65" t="s">
        <v>73</v>
      </c>
      <c r="D10" s="29">
        <v>1</v>
      </c>
      <c r="E10" s="72">
        <v>0</v>
      </c>
      <c r="F10" s="72">
        <v>0</v>
      </c>
      <c r="G10" s="54">
        <f t="shared" si="0"/>
        <v>0</v>
      </c>
      <c r="H10" s="55">
        <v>0</v>
      </c>
      <c r="I10" s="56"/>
      <c r="J10" s="56"/>
      <c r="K10" s="56"/>
      <c r="L10" s="56"/>
      <c r="M10" s="56"/>
      <c r="N10" s="56"/>
      <c r="O10" s="56">
        <v>0</v>
      </c>
      <c r="P10" s="56">
        <f t="shared" si="1"/>
        <v>0</v>
      </c>
      <c r="Q10" s="66">
        <v>0</v>
      </c>
      <c r="R10" s="30" t="s">
        <v>9</v>
      </c>
    </row>
    <row r="11" spans="1:18" s="67" customFormat="1" ht="38.25" customHeight="1" x14ac:dyDescent="0.25">
      <c r="A11" s="26">
        <f t="shared" si="2"/>
        <v>4</v>
      </c>
      <c r="B11" s="27" t="s">
        <v>78</v>
      </c>
      <c r="C11" s="68" t="s">
        <v>95</v>
      </c>
      <c r="D11" s="29">
        <v>1</v>
      </c>
      <c r="E11" s="72">
        <v>0.24</v>
      </c>
      <c r="F11" s="72">
        <v>0.24</v>
      </c>
      <c r="G11" s="54">
        <f>F11-E11</f>
        <v>0</v>
      </c>
      <c r="H11" s="55">
        <v>0</v>
      </c>
      <c r="I11" s="56"/>
      <c r="J11" s="56"/>
      <c r="K11" s="56"/>
      <c r="L11" s="56"/>
      <c r="M11" s="56"/>
      <c r="N11" s="56"/>
      <c r="O11" s="73">
        <v>7669</v>
      </c>
      <c r="P11" s="56">
        <f>N11-O11</f>
        <v>-7669</v>
      </c>
      <c r="Q11" s="66"/>
      <c r="R11" s="30" t="s">
        <v>21</v>
      </c>
    </row>
    <row r="12" spans="1:18" s="67" customFormat="1" ht="38.25" customHeight="1" x14ac:dyDescent="0.25">
      <c r="A12" s="26">
        <f t="shared" si="2"/>
        <v>5</v>
      </c>
      <c r="B12" s="27" t="s">
        <v>63</v>
      </c>
      <c r="C12" s="68" t="s">
        <v>99</v>
      </c>
      <c r="D12" s="29">
        <v>1</v>
      </c>
      <c r="E12" s="72">
        <v>1</v>
      </c>
      <c r="F12" s="72">
        <v>1</v>
      </c>
      <c r="G12" s="54">
        <f t="shared" si="0"/>
        <v>0</v>
      </c>
      <c r="H12" s="55">
        <f>(F12/E12)-1</f>
        <v>0</v>
      </c>
      <c r="I12" s="56"/>
      <c r="J12" s="56"/>
      <c r="K12" s="56"/>
      <c r="L12" s="56"/>
      <c r="M12" s="56"/>
      <c r="N12" s="56"/>
      <c r="O12" s="56">
        <v>5939</v>
      </c>
      <c r="P12" s="56">
        <f t="shared" si="1"/>
        <v>-5939</v>
      </c>
      <c r="Q12" s="66">
        <f>(M12/O12)-1</f>
        <v>-1</v>
      </c>
      <c r="R12" s="35" t="s">
        <v>17</v>
      </c>
    </row>
    <row r="13" spans="1:18" s="67" customFormat="1" ht="38.25" customHeight="1" x14ac:dyDescent="0.25">
      <c r="A13" s="26">
        <f t="shared" si="2"/>
        <v>6</v>
      </c>
      <c r="B13" s="36" t="s">
        <v>75</v>
      </c>
      <c r="C13" s="29" t="s">
        <v>76</v>
      </c>
      <c r="D13" s="29">
        <v>1</v>
      </c>
      <c r="E13" s="72">
        <v>0.125</v>
      </c>
      <c r="F13" s="72">
        <v>0.125</v>
      </c>
      <c r="G13" s="54">
        <f t="shared" si="0"/>
        <v>0</v>
      </c>
      <c r="H13" s="55">
        <f>(F13/E13)-1</f>
        <v>0</v>
      </c>
      <c r="I13" s="56"/>
      <c r="J13" s="56"/>
      <c r="K13" s="56"/>
      <c r="L13" s="56"/>
      <c r="M13" s="56"/>
      <c r="N13" s="56"/>
      <c r="O13" s="56">
        <f>38046+18730</f>
        <v>56776</v>
      </c>
      <c r="P13" s="56">
        <f t="shared" si="1"/>
        <v>-56776</v>
      </c>
      <c r="Q13" s="66">
        <f>(M13/O13)-1</f>
        <v>-1</v>
      </c>
      <c r="R13" s="30" t="s">
        <v>19</v>
      </c>
    </row>
    <row r="14" spans="1:18" ht="38.25" customHeight="1" x14ac:dyDescent="0.25">
      <c r="A14" s="283" t="s">
        <v>1</v>
      </c>
      <c r="B14" s="284"/>
      <c r="C14" s="285"/>
      <c r="D14" s="38">
        <f>SUM(D8:D13)</f>
        <v>6</v>
      </c>
      <c r="E14" s="38">
        <f>SUM(E8:E13)</f>
        <v>1.365</v>
      </c>
      <c r="F14" s="38">
        <f>SUM(F8:F13)</f>
        <v>1.365</v>
      </c>
      <c r="G14" s="38">
        <f>SUM(G8:G13)</f>
        <v>0</v>
      </c>
      <c r="H14" s="69">
        <f>(F14/E14)-1</f>
        <v>0</v>
      </c>
      <c r="I14" s="41">
        <f t="shared" ref="I14:O14" si="3">SUM(I8:I13)</f>
        <v>0</v>
      </c>
      <c r="J14" s="41">
        <f t="shared" si="3"/>
        <v>0</v>
      </c>
      <c r="K14" s="41">
        <f t="shared" si="3"/>
        <v>0</v>
      </c>
      <c r="L14" s="41">
        <f t="shared" si="3"/>
        <v>0</v>
      </c>
      <c r="M14" s="41">
        <f t="shared" si="3"/>
        <v>0</v>
      </c>
      <c r="N14" s="41">
        <f t="shared" si="3"/>
        <v>0</v>
      </c>
      <c r="O14" s="41">
        <f t="shared" si="3"/>
        <v>71256</v>
      </c>
      <c r="P14" s="41">
        <f t="shared" ref="P14" si="4">SUM(P8:P13)</f>
        <v>-71256</v>
      </c>
      <c r="Q14" s="43">
        <f>(M14/O14)-1</f>
        <v>-1</v>
      </c>
      <c r="R14" s="41"/>
    </row>
    <row r="16" spans="1:18" ht="9" customHeight="1" x14ac:dyDescent="0.25">
      <c r="R16" s="71"/>
    </row>
    <row r="17" spans="1:18" s="24" customFormat="1" ht="28.5" customHeight="1" x14ac:dyDescent="0.2">
      <c r="A17" s="239"/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</row>
  </sheetData>
  <mergeCells count="23">
    <mergeCell ref="A1:Q1"/>
    <mergeCell ref="A2:Q2"/>
    <mergeCell ref="A3:Q3"/>
    <mergeCell ref="A5:A7"/>
    <mergeCell ref="B5:B7"/>
    <mergeCell ref="C5:C7"/>
    <mergeCell ref="D5:H5"/>
    <mergeCell ref="I5:R5"/>
    <mergeCell ref="D6:D7"/>
    <mergeCell ref="E6:E7"/>
    <mergeCell ref="A17:R17"/>
    <mergeCell ref="M6:M7"/>
    <mergeCell ref="N6:N7"/>
    <mergeCell ref="O6:O7"/>
    <mergeCell ref="P6:Q6"/>
    <mergeCell ref="R6:R7"/>
    <mergeCell ref="A14:C14"/>
    <mergeCell ref="F6:F7"/>
    <mergeCell ref="G6:H6"/>
    <mergeCell ref="I6:I7"/>
    <mergeCell ref="J6:J7"/>
    <mergeCell ref="K6:K7"/>
    <mergeCell ref="L6:L7"/>
  </mergeCells>
  <pageMargins left="0.98425196850393704" right="0.31496062992125984" top="1.1811023622047245" bottom="0.23622047244094491" header="0.19685039370078741" footer="0.15748031496062992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42"/>
  <sheetViews>
    <sheetView topLeftCell="A11" workbookViewId="0">
      <selection activeCell="L10" sqref="L10"/>
    </sheetView>
  </sheetViews>
  <sheetFormatPr baseColWidth="10" defaultRowHeight="12.75" x14ac:dyDescent="0.2"/>
  <cols>
    <col min="1" max="1" width="5.28515625" style="51" customWidth="1"/>
    <col min="2" max="2" width="25.42578125" style="51" customWidth="1"/>
    <col min="3" max="3" width="14" style="51" customWidth="1"/>
    <col min="4" max="4" width="7" style="51" bestFit="1" customWidth="1"/>
    <col min="5" max="5" width="11.28515625" style="51" bestFit="1" customWidth="1"/>
    <col min="6" max="6" width="11.85546875" style="51" bestFit="1" customWidth="1"/>
    <col min="7" max="7" width="9.85546875" style="51" bestFit="1" customWidth="1"/>
    <col min="8" max="8" width="3.42578125" style="51" bestFit="1" customWidth="1"/>
    <col min="9" max="9" width="11" style="51" bestFit="1" customWidth="1"/>
    <col min="10" max="10" width="12.140625" style="51" bestFit="1" customWidth="1"/>
    <col min="11" max="11" width="10.85546875" style="51" bestFit="1" customWidth="1"/>
    <col min="12" max="12" width="12" style="51" bestFit="1" customWidth="1"/>
    <col min="13" max="13" width="11.85546875" style="76" bestFit="1" customWidth="1"/>
    <col min="14" max="14" width="11.140625" style="51" bestFit="1" customWidth="1"/>
    <col min="15" max="15" width="10.28515625" style="51" customWidth="1"/>
    <col min="16" max="16" width="7.28515625" style="51" customWidth="1"/>
    <col min="17" max="17" width="9.85546875" style="24" bestFit="1" customWidth="1"/>
    <col min="18" max="163" width="11.42578125" style="24"/>
    <col min="164" max="164" width="5.28515625" style="24" customWidth="1"/>
    <col min="165" max="165" width="25.42578125" style="24" customWidth="1"/>
    <col min="166" max="166" width="14" style="24" customWidth="1"/>
    <col min="167" max="167" width="9.28515625" style="24" customWidth="1"/>
    <col min="168" max="168" width="13.5703125" style="24" customWidth="1"/>
    <col min="169" max="169" width="12.140625" style="24" customWidth="1"/>
    <col min="170" max="170" width="10.7109375" style="24" customWidth="1"/>
    <col min="171" max="171" width="10.42578125" style="24" customWidth="1"/>
    <col min="172" max="172" width="10.5703125" style="24" customWidth="1"/>
    <col min="173" max="173" width="12.5703125" style="24" customWidth="1"/>
    <col min="174" max="174" width="12" style="24" customWidth="1"/>
    <col min="175" max="175" width="12.28515625" style="24" customWidth="1"/>
    <col min="176" max="176" width="0" style="24" hidden="1" customWidth="1"/>
    <col min="177" max="177" width="12.42578125" style="24" customWidth="1"/>
    <col min="178" max="178" width="11.28515625" style="24" customWidth="1"/>
    <col min="179" max="180" width="0" style="24" hidden="1" customWidth="1"/>
    <col min="181" max="181" width="8.85546875" style="24" bestFit="1" customWidth="1"/>
    <col min="182" max="419" width="11.42578125" style="24"/>
    <col min="420" max="420" width="5.28515625" style="24" customWidth="1"/>
    <col min="421" max="421" width="25.42578125" style="24" customWidth="1"/>
    <col min="422" max="422" width="14" style="24" customWidth="1"/>
    <col min="423" max="423" width="9.28515625" style="24" customWidth="1"/>
    <col min="424" max="424" width="13.5703125" style="24" customWidth="1"/>
    <col min="425" max="425" width="12.140625" style="24" customWidth="1"/>
    <col min="426" max="426" width="10.7109375" style="24" customWidth="1"/>
    <col min="427" max="427" width="10.42578125" style="24" customWidth="1"/>
    <col min="428" max="428" width="10.5703125" style="24" customWidth="1"/>
    <col min="429" max="429" width="12.5703125" style="24" customWidth="1"/>
    <col min="430" max="430" width="12" style="24" customWidth="1"/>
    <col min="431" max="431" width="12.28515625" style="24" customWidth="1"/>
    <col min="432" max="432" width="0" style="24" hidden="1" customWidth="1"/>
    <col min="433" max="433" width="12.42578125" style="24" customWidth="1"/>
    <col min="434" max="434" width="11.28515625" style="24" customWidth="1"/>
    <col min="435" max="436" width="0" style="24" hidden="1" customWidth="1"/>
    <col min="437" max="437" width="8.85546875" style="24" bestFit="1" customWidth="1"/>
    <col min="438" max="675" width="11.42578125" style="24"/>
    <col min="676" max="676" width="5.28515625" style="24" customWidth="1"/>
    <col min="677" max="677" width="25.42578125" style="24" customWidth="1"/>
    <col min="678" max="678" width="14" style="24" customWidth="1"/>
    <col min="679" max="679" width="9.28515625" style="24" customWidth="1"/>
    <col min="680" max="680" width="13.5703125" style="24" customWidth="1"/>
    <col min="681" max="681" width="12.140625" style="24" customWidth="1"/>
    <col min="682" max="682" width="10.7109375" style="24" customWidth="1"/>
    <col min="683" max="683" width="10.42578125" style="24" customWidth="1"/>
    <col min="684" max="684" width="10.5703125" style="24" customWidth="1"/>
    <col min="685" max="685" width="12.5703125" style="24" customWidth="1"/>
    <col min="686" max="686" width="12" style="24" customWidth="1"/>
    <col min="687" max="687" width="12.28515625" style="24" customWidth="1"/>
    <col min="688" max="688" width="0" style="24" hidden="1" customWidth="1"/>
    <col min="689" max="689" width="12.42578125" style="24" customWidth="1"/>
    <col min="690" max="690" width="11.28515625" style="24" customWidth="1"/>
    <col min="691" max="692" width="0" style="24" hidden="1" customWidth="1"/>
    <col min="693" max="693" width="8.85546875" style="24" bestFit="1" customWidth="1"/>
    <col min="694" max="931" width="11.42578125" style="24"/>
    <col min="932" max="932" width="5.28515625" style="24" customWidth="1"/>
    <col min="933" max="933" width="25.42578125" style="24" customWidth="1"/>
    <col min="934" max="934" width="14" style="24" customWidth="1"/>
    <col min="935" max="935" width="9.28515625" style="24" customWidth="1"/>
    <col min="936" max="936" width="13.5703125" style="24" customWidth="1"/>
    <col min="937" max="937" width="12.140625" style="24" customWidth="1"/>
    <col min="938" max="938" width="10.7109375" style="24" customWidth="1"/>
    <col min="939" max="939" width="10.42578125" style="24" customWidth="1"/>
    <col min="940" max="940" width="10.5703125" style="24" customWidth="1"/>
    <col min="941" max="941" width="12.5703125" style="24" customWidth="1"/>
    <col min="942" max="942" width="12" style="24" customWidth="1"/>
    <col min="943" max="943" width="12.28515625" style="24" customWidth="1"/>
    <col min="944" max="944" width="0" style="24" hidden="1" customWidth="1"/>
    <col min="945" max="945" width="12.42578125" style="24" customWidth="1"/>
    <col min="946" max="946" width="11.28515625" style="24" customWidth="1"/>
    <col min="947" max="948" width="0" style="24" hidden="1" customWidth="1"/>
    <col min="949" max="949" width="8.85546875" style="24" bestFit="1" customWidth="1"/>
    <col min="950" max="1187" width="11.42578125" style="24"/>
    <col min="1188" max="1188" width="5.28515625" style="24" customWidth="1"/>
    <col min="1189" max="1189" width="25.42578125" style="24" customWidth="1"/>
    <col min="1190" max="1190" width="14" style="24" customWidth="1"/>
    <col min="1191" max="1191" width="9.28515625" style="24" customWidth="1"/>
    <col min="1192" max="1192" width="13.5703125" style="24" customWidth="1"/>
    <col min="1193" max="1193" width="12.140625" style="24" customWidth="1"/>
    <col min="1194" max="1194" width="10.7109375" style="24" customWidth="1"/>
    <col min="1195" max="1195" width="10.42578125" style="24" customWidth="1"/>
    <col min="1196" max="1196" width="10.5703125" style="24" customWidth="1"/>
    <col min="1197" max="1197" width="12.5703125" style="24" customWidth="1"/>
    <col min="1198" max="1198" width="12" style="24" customWidth="1"/>
    <col min="1199" max="1199" width="12.28515625" style="24" customWidth="1"/>
    <col min="1200" max="1200" width="0" style="24" hidden="1" customWidth="1"/>
    <col min="1201" max="1201" width="12.42578125" style="24" customWidth="1"/>
    <col min="1202" max="1202" width="11.28515625" style="24" customWidth="1"/>
    <col min="1203" max="1204" width="0" style="24" hidden="1" customWidth="1"/>
    <col min="1205" max="1205" width="8.85546875" style="24" bestFit="1" customWidth="1"/>
    <col min="1206" max="1443" width="11.42578125" style="24"/>
    <col min="1444" max="1444" width="5.28515625" style="24" customWidth="1"/>
    <col min="1445" max="1445" width="25.42578125" style="24" customWidth="1"/>
    <col min="1446" max="1446" width="14" style="24" customWidth="1"/>
    <col min="1447" max="1447" width="9.28515625" style="24" customWidth="1"/>
    <col min="1448" max="1448" width="13.5703125" style="24" customWidth="1"/>
    <col min="1449" max="1449" width="12.140625" style="24" customWidth="1"/>
    <col min="1450" max="1450" width="10.7109375" style="24" customWidth="1"/>
    <col min="1451" max="1451" width="10.42578125" style="24" customWidth="1"/>
    <col min="1452" max="1452" width="10.5703125" style="24" customWidth="1"/>
    <col min="1453" max="1453" width="12.5703125" style="24" customWidth="1"/>
    <col min="1454" max="1454" width="12" style="24" customWidth="1"/>
    <col min="1455" max="1455" width="12.28515625" style="24" customWidth="1"/>
    <col min="1456" max="1456" width="0" style="24" hidden="1" customWidth="1"/>
    <col min="1457" max="1457" width="12.42578125" style="24" customWidth="1"/>
    <col min="1458" max="1458" width="11.28515625" style="24" customWidth="1"/>
    <col min="1459" max="1460" width="0" style="24" hidden="1" customWidth="1"/>
    <col min="1461" max="1461" width="8.85546875" style="24" bestFit="1" customWidth="1"/>
    <col min="1462" max="1699" width="11.42578125" style="24"/>
    <col min="1700" max="1700" width="5.28515625" style="24" customWidth="1"/>
    <col min="1701" max="1701" width="25.42578125" style="24" customWidth="1"/>
    <col min="1702" max="1702" width="14" style="24" customWidth="1"/>
    <col min="1703" max="1703" width="9.28515625" style="24" customWidth="1"/>
    <col min="1704" max="1704" width="13.5703125" style="24" customWidth="1"/>
    <col min="1705" max="1705" width="12.140625" style="24" customWidth="1"/>
    <col min="1706" max="1706" width="10.7109375" style="24" customWidth="1"/>
    <col min="1707" max="1707" width="10.42578125" style="24" customWidth="1"/>
    <col min="1708" max="1708" width="10.5703125" style="24" customWidth="1"/>
    <col min="1709" max="1709" width="12.5703125" style="24" customWidth="1"/>
    <col min="1710" max="1710" width="12" style="24" customWidth="1"/>
    <col min="1711" max="1711" width="12.28515625" style="24" customWidth="1"/>
    <col min="1712" max="1712" width="0" style="24" hidden="1" customWidth="1"/>
    <col min="1713" max="1713" width="12.42578125" style="24" customWidth="1"/>
    <col min="1714" max="1714" width="11.28515625" style="24" customWidth="1"/>
    <col min="1715" max="1716" width="0" style="24" hidden="1" customWidth="1"/>
    <col min="1717" max="1717" width="8.85546875" style="24" bestFit="1" customWidth="1"/>
    <col min="1718" max="1955" width="11.42578125" style="24"/>
    <col min="1956" max="1956" width="5.28515625" style="24" customWidth="1"/>
    <col min="1957" max="1957" width="25.42578125" style="24" customWidth="1"/>
    <col min="1958" max="1958" width="14" style="24" customWidth="1"/>
    <col min="1959" max="1959" width="9.28515625" style="24" customWidth="1"/>
    <col min="1960" max="1960" width="13.5703125" style="24" customWidth="1"/>
    <col min="1961" max="1961" width="12.140625" style="24" customWidth="1"/>
    <col min="1962" max="1962" width="10.7109375" style="24" customWidth="1"/>
    <col min="1963" max="1963" width="10.42578125" style="24" customWidth="1"/>
    <col min="1964" max="1964" width="10.5703125" style="24" customWidth="1"/>
    <col min="1965" max="1965" width="12.5703125" style="24" customWidth="1"/>
    <col min="1966" max="1966" width="12" style="24" customWidth="1"/>
    <col min="1967" max="1967" width="12.28515625" style="24" customWidth="1"/>
    <col min="1968" max="1968" width="0" style="24" hidden="1" customWidth="1"/>
    <col min="1969" max="1969" width="12.42578125" style="24" customWidth="1"/>
    <col min="1970" max="1970" width="11.28515625" style="24" customWidth="1"/>
    <col min="1971" max="1972" width="0" style="24" hidden="1" customWidth="1"/>
    <col min="1973" max="1973" width="8.85546875" style="24" bestFit="1" customWidth="1"/>
    <col min="1974" max="2211" width="11.42578125" style="24"/>
    <col min="2212" max="2212" width="5.28515625" style="24" customWidth="1"/>
    <col min="2213" max="2213" width="25.42578125" style="24" customWidth="1"/>
    <col min="2214" max="2214" width="14" style="24" customWidth="1"/>
    <col min="2215" max="2215" width="9.28515625" style="24" customWidth="1"/>
    <col min="2216" max="2216" width="13.5703125" style="24" customWidth="1"/>
    <col min="2217" max="2217" width="12.140625" style="24" customWidth="1"/>
    <col min="2218" max="2218" width="10.7109375" style="24" customWidth="1"/>
    <col min="2219" max="2219" width="10.42578125" style="24" customWidth="1"/>
    <col min="2220" max="2220" width="10.5703125" style="24" customWidth="1"/>
    <col min="2221" max="2221" width="12.5703125" style="24" customWidth="1"/>
    <col min="2222" max="2222" width="12" style="24" customWidth="1"/>
    <col min="2223" max="2223" width="12.28515625" style="24" customWidth="1"/>
    <col min="2224" max="2224" width="0" style="24" hidden="1" customWidth="1"/>
    <col min="2225" max="2225" width="12.42578125" style="24" customWidth="1"/>
    <col min="2226" max="2226" width="11.28515625" style="24" customWidth="1"/>
    <col min="2227" max="2228" width="0" style="24" hidden="1" customWidth="1"/>
    <col min="2229" max="2229" width="8.85546875" style="24" bestFit="1" customWidth="1"/>
    <col min="2230" max="2467" width="11.42578125" style="24"/>
    <col min="2468" max="2468" width="5.28515625" style="24" customWidth="1"/>
    <col min="2469" max="2469" width="25.42578125" style="24" customWidth="1"/>
    <col min="2470" max="2470" width="14" style="24" customWidth="1"/>
    <col min="2471" max="2471" width="9.28515625" style="24" customWidth="1"/>
    <col min="2472" max="2472" width="13.5703125" style="24" customWidth="1"/>
    <col min="2473" max="2473" width="12.140625" style="24" customWidth="1"/>
    <col min="2474" max="2474" width="10.7109375" style="24" customWidth="1"/>
    <col min="2475" max="2475" width="10.42578125" style="24" customWidth="1"/>
    <col min="2476" max="2476" width="10.5703125" style="24" customWidth="1"/>
    <col min="2477" max="2477" width="12.5703125" style="24" customWidth="1"/>
    <col min="2478" max="2478" width="12" style="24" customWidth="1"/>
    <col min="2479" max="2479" width="12.28515625" style="24" customWidth="1"/>
    <col min="2480" max="2480" width="0" style="24" hidden="1" customWidth="1"/>
    <col min="2481" max="2481" width="12.42578125" style="24" customWidth="1"/>
    <col min="2482" max="2482" width="11.28515625" style="24" customWidth="1"/>
    <col min="2483" max="2484" width="0" style="24" hidden="1" customWidth="1"/>
    <col min="2485" max="2485" width="8.85546875" style="24" bestFit="1" customWidth="1"/>
    <col min="2486" max="2723" width="11.42578125" style="24"/>
    <col min="2724" max="2724" width="5.28515625" style="24" customWidth="1"/>
    <col min="2725" max="2725" width="25.42578125" style="24" customWidth="1"/>
    <col min="2726" max="2726" width="14" style="24" customWidth="1"/>
    <col min="2727" max="2727" width="9.28515625" style="24" customWidth="1"/>
    <col min="2728" max="2728" width="13.5703125" style="24" customWidth="1"/>
    <col min="2729" max="2729" width="12.140625" style="24" customWidth="1"/>
    <col min="2730" max="2730" width="10.7109375" style="24" customWidth="1"/>
    <col min="2731" max="2731" width="10.42578125" style="24" customWidth="1"/>
    <col min="2732" max="2732" width="10.5703125" style="24" customWidth="1"/>
    <col min="2733" max="2733" width="12.5703125" style="24" customWidth="1"/>
    <col min="2734" max="2734" width="12" style="24" customWidth="1"/>
    <col min="2735" max="2735" width="12.28515625" style="24" customWidth="1"/>
    <col min="2736" max="2736" width="0" style="24" hidden="1" customWidth="1"/>
    <col min="2737" max="2737" width="12.42578125" style="24" customWidth="1"/>
    <col min="2738" max="2738" width="11.28515625" style="24" customWidth="1"/>
    <col min="2739" max="2740" width="0" style="24" hidden="1" customWidth="1"/>
    <col min="2741" max="2741" width="8.85546875" style="24" bestFit="1" customWidth="1"/>
    <col min="2742" max="2979" width="11.42578125" style="24"/>
    <col min="2980" max="2980" width="5.28515625" style="24" customWidth="1"/>
    <col min="2981" max="2981" width="25.42578125" style="24" customWidth="1"/>
    <col min="2982" max="2982" width="14" style="24" customWidth="1"/>
    <col min="2983" max="2983" width="9.28515625" style="24" customWidth="1"/>
    <col min="2984" max="2984" width="13.5703125" style="24" customWidth="1"/>
    <col min="2985" max="2985" width="12.140625" style="24" customWidth="1"/>
    <col min="2986" max="2986" width="10.7109375" style="24" customWidth="1"/>
    <col min="2987" max="2987" width="10.42578125" style="24" customWidth="1"/>
    <col min="2988" max="2988" width="10.5703125" style="24" customWidth="1"/>
    <col min="2989" max="2989" width="12.5703125" style="24" customWidth="1"/>
    <col min="2990" max="2990" width="12" style="24" customWidth="1"/>
    <col min="2991" max="2991" width="12.28515625" style="24" customWidth="1"/>
    <col min="2992" max="2992" width="0" style="24" hidden="1" customWidth="1"/>
    <col min="2993" max="2993" width="12.42578125" style="24" customWidth="1"/>
    <col min="2994" max="2994" width="11.28515625" style="24" customWidth="1"/>
    <col min="2995" max="2996" width="0" style="24" hidden="1" customWidth="1"/>
    <col min="2997" max="2997" width="8.85546875" style="24" bestFit="1" customWidth="1"/>
    <col min="2998" max="3235" width="11.42578125" style="24"/>
    <col min="3236" max="3236" width="5.28515625" style="24" customWidth="1"/>
    <col min="3237" max="3237" width="25.42578125" style="24" customWidth="1"/>
    <col min="3238" max="3238" width="14" style="24" customWidth="1"/>
    <col min="3239" max="3239" width="9.28515625" style="24" customWidth="1"/>
    <col min="3240" max="3240" width="13.5703125" style="24" customWidth="1"/>
    <col min="3241" max="3241" width="12.140625" style="24" customWidth="1"/>
    <col min="3242" max="3242" width="10.7109375" style="24" customWidth="1"/>
    <col min="3243" max="3243" width="10.42578125" style="24" customWidth="1"/>
    <col min="3244" max="3244" width="10.5703125" style="24" customWidth="1"/>
    <col min="3245" max="3245" width="12.5703125" style="24" customWidth="1"/>
    <col min="3246" max="3246" width="12" style="24" customWidth="1"/>
    <col min="3247" max="3247" width="12.28515625" style="24" customWidth="1"/>
    <col min="3248" max="3248" width="0" style="24" hidden="1" customWidth="1"/>
    <col min="3249" max="3249" width="12.42578125" style="24" customWidth="1"/>
    <col min="3250" max="3250" width="11.28515625" style="24" customWidth="1"/>
    <col min="3251" max="3252" width="0" style="24" hidden="1" customWidth="1"/>
    <col min="3253" max="3253" width="8.85546875" style="24" bestFit="1" customWidth="1"/>
    <col min="3254" max="3491" width="11.42578125" style="24"/>
    <col min="3492" max="3492" width="5.28515625" style="24" customWidth="1"/>
    <col min="3493" max="3493" width="25.42578125" style="24" customWidth="1"/>
    <col min="3494" max="3494" width="14" style="24" customWidth="1"/>
    <col min="3495" max="3495" width="9.28515625" style="24" customWidth="1"/>
    <col min="3496" max="3496" width="13.5703125" style="24" customWidth="1"/>
    <col min="3497" max="3497" width="12.140625" style="24" customWidth="1"/>
    <col min="3498" max="3498" width="10.7109375" style="24" customWidth="1"/>
    <col min="3499" max="3499" width="10.42578125" style="24" customWidth="1"/>
    <col min="3500" max="3500" width="10.5703125" style="24" customWidth="1"/>
    <col min="3501" max="3501" width="12.5703125" style="24" customWidth="1"/>
    <col min="3502" max="3502" width="12" style="24" customWidth="1"/>
    <col min="3503" max="3503" width="12.28515625" style="24" customWidth="1"/>
    <col min="3504" max="3504" width="0" style="24" hidden="1" customWidth="1"/>
    <col min="3505" max="3505" width="12.42578125" style="24" customWidth="1"/>
    <col min="3506" max="3506" width="11.28515625" style="24" customWidth="1"/>
    <col min="3507" max="3508" width="0" style="24" hidden="1" customWidth="1"/>
    <col min="3509" max="3509" width="8.85546875" style="24" bestFit="1" customWidth="1"/>
    <col min="3510" max="3747" width="11.42578125" style="24"/>
    <col min="3748" max="3748" width="5.28515625" style="24" customWidth="1"/>
    <col min="3749" max="3749" width="25.42578125" style="24" customWidth="1"/>
    <col min="3750" max="3750" width="14" style="24" customWidth="1"/>
    <col min="3751" max="3751" width="9.28515625" style="24" customWidth="1"/>
    <col min="3752" max="3752" width="13.5703125" style="24" customWidth="1"/>
    <col min="3753" max="3753" width="12.140625" style="24" customWidth="1"/>
    <col min="3754" max="3754" width="10.7109375" style="24" customWidth="1"/>
    <col min="3755" max="3755" width="10.42578125" style="24" customWidth="1"/>
    <col min="3756" max="3756" width="10.5703125" style="24" customWidth="1"/>
    <col min="3757" max="3757" width="12.5703125" style="24" customWidth="1"/>
    <col min="3758" max="3758" width="12" style="24" customWidth="1"/>
    <col min="3759" max="3759" width="12.28515625" style="24" customWidth="1"/>
    <col min="3760" max="3760" width="0" style="24" hidden="1" customWidth="1"/>
    <col min="3761" max="3761" width="12.42578125" style="24" customWidth="1"/>
    <col min="3762" max="3762" width="11.28515625" style="24" customWidth="1"/>
    <col min="3763" max="3764" width="0" style="24" hidden="1" customWidth="1"/>
    <col min="3765" max="3765" width="8.85546875" style="24" bestFit="1" customWidth="1"/>
    <col min="3766" max="4003" width="11.42578125" style="24"/>
    <col min="4004" max="4004" width="5.28515625" style="24" customWidth="1"/>
    <col min="4005" max="4005" width="25.42578125" style="24" customWidth="1"/>
    <col min="4006" max="4006" width="14" style="24" customWidth="1"/>
    <col min="4007" max="4007" width="9.28515625" style="24" customWidth="1"/>
    <col min="4008" max="4008" width="13.5703125" style="24" customWidth="1"/>
    <col min="4009" max="4009" width="12.140625" style="24" customWidth="1"/>
    <col min="4010" max="4010" width="10.7109375" style="24" customWidth="1"/>
    <col min="4011" max="4011" width="10.42578125" style="24" customWidth="1"/>
    <col min="4012" max="4012" width="10.5703125" style="24" customWidth="1"/>
    <col min="4013" max="4013" width="12.5703125" style="24" customWidth="1"/>
    <col min="4014" max="4014" width="12" style="24" customWidth="1"/>
    <col min="4015" max="4015" width="12.28515625" style="24" customWidth="1"/>
    <col min="4016" max="4016" width="0" style="24" hidden="1" customWidth="1"/>
    <col min="4017" max="4017" width="12.42578125" style="24" customWidth="1"/>
    <col min="4018" max="4018" width="11.28515625" style="24" customWidth="1"/>
    <col min="4019" max="4020" width="0" style="24" hidden="1" customWidth="1"/>
    <col min="4021" max="4021" width="8.85546875" style="24" bestFit="1" customWidth="1"/>
    <col min="4022" max="4259" width="11.42578125" style="24"/>
    <col min="4260" max="4260" width="5.28515625" style="24" customWidth="1"/>
    <col min="4261" max="4261" width="25.42578125" style="24" customWidth="1"/>
    <col min="4262" max="4262" width="14" style="24" customWidth="1"/>
    <col min="4263" max="4263" width="9.28515625" style="24" customWidth="1"/>
    <col min="4264" max="4264" width="13.5703125" style="24" customWidth="1"/>
    <col min="4265" max="4265" width="12.140625" style="24" customWidth="1"/>
    <col min="4266" max="4266" width="10.7109375" style="24" customWidth="1"/>
    <col min="4267" max="4267" width="10.42578125" style="24" customWidth="1"/>
    <col min="4268" max="4268" width="10.5703125" style="24" customWidth="1"/>
    <col min="4269" max="4269" width="12.5703125" style="24" customWidth="1"/>
    <col min="4270" max="4270" width="12" style="24" customWidth="1"/>
    <col min="4271" max="4271" width="12.28515625" style="24" customWidth="1"/>
    <col min="4272" max="4272" width="0" style="24" hidden="1" customWidth="1"/>
    <col min="4273" max="4273" width="12.42578125" style="24" customWidth="1"/>
    <col min="4274" max="4274" width="11.28515625" style="24" customWidth="1"/>
    <col min="4275" max="4276" width="0" style="24" hidden="1" customWidth="1"/>
    <col min="4277" max="4277" width="8.85546875" style="24" bestFit="1" customWidth="1"/>
    <col min="4278" max="4515" width="11.42578125" style="24"/>
    <col min="4516" max="4516" width="5.28515625" style="24" customWidth="1"/>
    <col min="4517" max="4517" width="25.42578125" style="24" customWidth="1"/>
    <col min="4518" max="4518" width="14" style="24" customWidth="1"/>
    <col min="4519" max="4519" width="9.28515625" style="24" customWidth="1"/>
    <col min="4520" max="4520" width="13.5703125" style="24" customWidth="1"/>
    <col min="4521" max="4521" width="12.140625" style="24" customWidth="1"/>
    <col min="4522" max="4522" width="10.7109375" style="24" customWidth="1"/>
    <col min="4523" max="4523" width="10.42578125" style="24" customWidth="1"/>
    <col min="4524" max="4524" width="10.5703125" style="24" customWidth="1"/>
    <col min="4525" max="4525" width="12.5703125" style="24" customWidth="1"/>
    <col min="4526" max="4526" width="12" style="24" customWidth="1"/>
    <col min="4527" max="4527" width="12.28515625" style="24" customWidth="1"/>
    <col min="4528" max="4528" width="0" style="24" hidden="1" customWidth="1"/>
    <col min="4529" max="4529" width="12.42578125" style="24" customWidth="1"/>
    <col min="4530" max="4530" width="11.28515625" style="24" customWidth="1"/>
    <col min="4531" max="4532" width="0" style="24" hidden="1" customWidth="1"/>
    <col min="4533" max="4533" width="8.85546875" style="24" bestFit="1" customWidth="1"/>
    <col min="4534" max="4771" width="11.42578125" style="24"/>
    <col min="4772" max="4772" width="5.28515625" style="24" customWidth="1"/>
    <col min="4773" max="4773" width="25.42578125" style="24" customWidth="1"/>
    <col min="4774" max="4774" width="14" style="24" customWidth="1"/>
    <col min="4775" max="4775" width="9.28515625" style="24" customWidth="1"/>
    <col min="4776" max="4776" width="13.5703125" style="24" customWidth="1"/>
    <col min="4777" max="4777" width="12.140625" style="24" customWidth="1"/>
    <col min="4778" max="4778" width="10.7109375" style="24" customWidth="1"/>
    <col min="4779" max="4779" width="10.42578125" style="24" customWidth="1"/>
    <col min="4780" max="4780" width="10.5703125" style="24" customWidth="1"/>
    <col min="4781" max="4781" width="12.5703125" style="24" customWidth="1"/>
    <col min="4782" max="4782" width="12" style="24" customWidth="1"/>
    <col min="4783" max="4783" width="12.28515625" style="24" customWidth="1"/>
    <col min="4784" max="4784" width="0" style="24" hidden="1" customWidth="1"/>
    <col min="4785" max="4785" width="12.42578125" style="24" customWidth="1"/>
    <col min="4786" max="4786" width="11.28515625" style="24" customWidth="1"/>
    <col min="4787" max="4788" width="0" style="24" hidden="1" customWidth="1"/>
    <col min="4789" max="4789" width="8.85546875" style="24" bestFit="1" customWidth="1"/>
    <col min="4790" max="5027" width="11.42578125" style="24"/>
    <col min="5028" max="5028" width="5.28515625" style="24" customWidth="1"/>
    <col min="5029" max="5029" width="25.42578125" style="24" customWidth="1"/>
    <col min="5030" max="5030" width="14" style="24" customWidth="1"/>
    <col min="5031" max="5031" width="9.28515625" style="24" customWidth="1"/>
    <col min="5032" max="5032" width="13.5703125" style="24" customWidth="1"/>
    <col min="5033" max="5033" width="12.140625" style="24" customWidth="1"/>
    <col min="5034" max="5034" width="10.7109375" style="24" customWidth="1"/>
    <col min="5035" max="5035" width="10.42578125" style="24" customWidth="1"/>
    <col min="5036" max="5036" width="10.5703125" style="24" customWidth="1"/>
    <col min="5037" max="5037" width="12.5703125" style="24" customWidth="1"/>
    <col min="5038" max="5038" width="12" style="24" customWidth="1"/>
    <col min="5039" max="5039" width="12.28515625" style="24" customWidth="1"/>
    <col min="5040" max="5040" width="0" style="24" hidden="1" customWidth="1"/>
    <col min="5041" max="5041" width="12.42578125" style="24" customWidth="1"/>
    <col min="5042" max="5042" width="11.28515625" style="24" customWidth="1"/>
    <col min="5043" max="5044" width="0" style="24" hidden="1" customWidth="1"/>
    <col min="5045" max="5045" width="8.85546875" style="24" bestFit="1" customWidth="1"/>
    <col min="5046" max="5283" width="11.42578125" style="24"/>
    <col min="5284" max="5284" width="5.28515625" style="24" customWidth="1"/>
    <col min="5285" max="5285" width="25.42578125" style="24" customWidth="1"/>
    <col min="5286" max="5286" width="14" style="24" customWidth="1"/>
    <col min="5287" max="5287" width="9.28515625" style="24" customWidth="1"/>
    <col min="5288" max="5288" width="13.5703125" style="24" customWidth="1"/>
    <col min="5289" max="5289" width="12.140625" style="24" customWidth="1"/>
    <col min="5290" max="5290" width="10.7109375" style="24" customWidth="1"/>
    <col min="5291" max="5291" width="10.42578125" style="24" customWidth="1"/>
    <col min="5292" max="5292" width="10.5703125" style="24" customWidth="1"/>
    <col min="5293" max="5293" width="12.5703125" style="24" customWidth="1"/>
    <col min="5294" max="5294" width="12" style="24" customWidth="1"/>
    <col min="5295" max="5295" width="12.28515625" style="24" customWidth="1"/>
    <col min="5296" max="5296" width="0" style="24" hidden="1" customWidth="1"/>
    <col min="5297" max="5297" width="12.42578125" style="24" customWidth="1"/>
    <col min="5298" max="5298" width="11.28515625" style="24" customWidth="1"/>
    <col min="5299" max="5300" width="0" style="24" hidden="1" customWidth="1"/>
    <col min="5301" max="5301" width="8.85546875" style="24" bestFit="1" customWidth="1"/>
    <col min="5302" max="5539" width="11.42578125" style="24"/>
    <col min="5540" max="5540" width="5.28515625" style="24" customWidth="1"/>
    <col min="5541" max="5541" width="25.42578125" style="24" customWidth="1"/>
    <col min="5542" max="5542" width="14" style="24" customWidth="1"/>
    <col min="5543" max="5543" width="9.28515625" style="24" customWidth="1"/>
    <col min="5544" max="5544" width="13.5703125" style="24" customWidth="1"/>
    <col min="5545" max="5545" width="12.140625" style="24" customWidth="1"/>
    <col min="5546" max="5546" width="10.7109375" style="24" customWidth="1"/>
    <col min="5547" max="5547" width="10.42578125" style="24" customWidth="1"/>
    <col min="5548" max="5548" width="10.5703125" style="24" customWidth="1"/>
    <col min="5549" max="5549" width="12.5703125" style="24" customWidth="1"/>
    <col min="5550" max="5550" width="12" style="24" customWidth="1"/>
    <col min="5551" max="5551" width="12.28515625" style="24" customWidth="1"/>
    <col min="5552" max="5552" width="0" style="24" hidden="1" customWidth="1"/>
    <col min="5553" max="5553" width="12.42578125" style="24" customWidth="1"/>
    <col min="5554" max="5554" width="11.28515625" style="24" customWidth="1"/>
    <col min="5555" max="5556" width="0" style="24" hidden="1" customWidth="1"/>
    <col min="5557" max="5557" width="8.85546875" style="24" bestFit="1" customWidth="1"/>
    <col min="5558" max="5795" width="11.42578125" style="24"/>
    <col min="5796" max="5796" width="5.28515625" style="24" customWidth="1"/>
    <col min="5797" max="5797" width="25.42578125" style="24" customWidth="1"/>
    <col min="5798" max="5798" width="14" style="24" customWidth="1"/>
    <col min="5799" max="5799" width="9.28515625" style="24" customWidth="1"/>
    <col min="5800" max="5800" width="13.5703125" style="24" customWidth="1"/>
    <col min="5801" max="5801" width="12.140625" style="24" customWidth="1"/>
    <col min="5802" max="5802" width="10.7109375" style="24" customWidth="1"/>
    <col min="5803" max="5803" width="10.42578125" style="24" customWidth="1"/>
    <col min="5804" max="5804" width="10.5703125" style="24" customWidth="1"/>
    <col min="5805" max="5805" width="12.5703125" style="24" customWidth="1"/>
    <col min="5806" max="5806" width="12" style="24" customWidth="1"/>
    <col min="5807" max="5807" width="12.28515625" style="24" customWidth="1"/>
    <col min="5808" max="5808" width="0" style="24" hidden="1" customWidth="1"/>
    <col min="5809" max="5809" width="12.42578125" style="24" customWidth="1"/>
    <col min="5810" max="5810" width="11.28515625" style="24" customWidth="1"/>
    <col min="5811" max="5812" width="0" style="24" hidden="1" customWidth="1"/>
    <col min="5813" max="5813" width="8.85546875" style="24" bestFit="1" customWidth="1"/>
    <col min="5814" max="6051" width="11.42578125" style="24"/>
    <col min="6052" max="6052" width="5.28515625" style="24" customWidth="1"/>
    <col min="6053" max="6053" width="25.42578125" style="24" customWidth="1"/>
    <col min="6054" max="6054" width="14" style="24" customWidth="1"/>
    <col min="6055" max="6055" width="9.28515625" style="24" customWidth="1"/>
    <col min="6056" max="6056" width="13.5703125" style="24" customWidth="1"/>
    <col min="6057" max="6057" width="12.140625" style="24" customWidth="1"/>
    <col min="6058" max="6058" width="10.7109375" style="24" customWidth="1"/>
    <col min="6059" max="6059" width="10.42578125" style="24" customWidth="1"/>
    <col min="6060" max="6060" width="10.5703125" style="24" customWidth="1"/>
    <col min="6061" max="6061" width="12.5703125" style="24" customWidth="1"/>
    <col min="6062" max="6062" width="12" style="24" customWidth="1"/>
    <col min="6063" max="6063" width="12.28515625" style="24" customWidth="1"/>
    <col min="6064" max="6064" width="0" style="24" hidden="1" customWidth="1"/>
    <col min="6065" max="6065" width="12.42578125" style="24" customWidth="1"/>
    <col min="6066" max="6066" width="11.28515625" style="24" customWidth="1"/>
    <col min="6067" max="6068" width="0" style="24" hidden="1" customWidth="1"/>
    <col min="6069" max="6069" width="8.85546875" style="24" bestFit="1" customWidth="1"/>
    <col min="6070" max="6307" width="11.42578125" style="24"/>
    <col min="6308" max="6308" width="5.28515625" style="24" customWidth="1"/>
    <col min="6309" max="6309" width="25.42578125" style="24" customWidth="1"/>
    <col min="6310" max="6310" width="14" style="24" customWidth="1"/>
    <col min="6311" max="6311" width="9.28515625" style="24" customWidth="1"/>
    <col min="6312" max="6312" width="13.5703125" style="24" customWidth="1"/>
    <col min="6313" max="6313" width="12.140625" style="24" customWidth="1"/>
    <col min="6314" max="6314" width="10.7109375" style="24" customWidth="1"/>
    <col min="6315" max="6315" width="10.42578125" style="24" customWidth="1"/>
    <col min="6316" max="6316" width="10.5703125" style="24" customWidth="1"/>
    <col min="6317" max="6317" width="12.5703125" style="24" customWidth="1"/>
    <col min="6318" max="6318" width="12" style="24" customWidth="1"/>
    <col min="6319" max="6319" width="12.28515625" style="24" customWidth="1"/>
    <col min="6320" max="6320" width="0" style="24" hidden="1" customWidth="1"/>
    <col min="6321" max="6321" width="12.42578125" style="24" customWidth="1"/>
    <col min="6322" max="6322" width="11.28515625" style="24" customWidth="1"/>
    <col min="6323" max="6324" width="0" style="24" hidden="1" customWidth="1"/>
    <col min="6325" max="6325" width="8.85546875" style="24" bestFit="1" customWidth="1"/>
    <col min="6326" max="6563" width="11.42578125" style="24"/>
    <col min="6564" max="6564" width="5.28515625" style="24" customWidth="1"/>
    <col min="6565" max="6565" width="25.42578125" style="24" customWidth="1"/>
    <col min="6566" max="6566" width="14" style="24" customWidth="1"/>
    <col min="6567" max="6567" width="9.28515625" style="24" customWidth="1"/>
    <col min="6568" max="6568" width="13.5703125" style="24" customWidth="1"/>
    <col min="6569" max="6569" width="12.140625" style="24" customWidth="1"/>
    <col min="6570" max="6570" width="10.7109375" style="24" customWidth="1"/>
    <col min="6571" max="6571" width="10.42578125" style="24" customWidth="1"/>
    <col min="6572" max="6572" width="10.5703125" style="24" customWidth="1"/>
    <col min="6573" max="6573" width="12.5703125" style="24" customWidth="1"/>
    <col min="6574" max="6574" width="12" style="24" customWidth="1"/>
    <col min="6575" max="6575" width="12.28515625" style="24" customWidth="1"/>
    <col min="6576" max="6576" width="0" style="24" hidden="1" customWidth="1"/>
    <col min="6577" max="6577" width="12.42578125" style="24" customWidth="1"/>
    <col min="6578" max="6578" width="11.28515625" style="24" customWidth="1"/>
    <col min="6579" max="6580" width="0" style="24" hidden="1" customWidth="1"/>
    <col min="6581" max="6581" width="8.85546875" style="24" bestFit="1" customWidth="1"/>
    <col min="6582" max="6819" width="11.42578125" style="24"/>
    <col min="6820" max="6820" width="5.28515625" style="24" customWidth="1"/>
    <col min="6821" max="6821" width="25.42578125" style="24" customWidth="1"/>
    <col min="6822" max="6822" width="14" style="24" customWidth="1"/>
    <col min="6823" max="6823" width="9.28515625" style="24" customWidth="1"/>
    <col min="6824" max="6824" width="13.5703125" style="24" customWidth="1"/>
    <col min="6825" max="6825" width="12.140625" style="24" customWidth="1"/>
    <col min="6826" max="6826" width="10.7109375" style="24" customWidth="1"/>
    <col min="6827" max="6827" width="10.42578125" style="24" customWidth="1"/>
    <col min="6828" max="6828" width="10.5703125" style="24" customWidth="1"/>
    <col min="6829" max="6829" width="12.5703125" style="24" customWidth="1"/>
    <col min="6830" max="6830" width="12" style="24" customWidth="1"/>
    <col min="6831" max="6831" width="12.28515625" style="24" customWidth="1"/>
    <col min="6832" max="6832" width="0" style="24" hidden="1" customWidth="1"/>
    <col min="6833" max="6833" width="12.42578125" style="24" customWidth="1"/>
    <col min="6834" max="6834" width="11.28515625" style="24" customWidth="1"/>
    <col min="6835" max="6836" width="0" style="24" hidden="1" customWidth="1"/>
    <col min="6837" max="6837" width="8.85546875" style="24" bestFit="1" customWidth="1"/>
    <col min="6838" max="7075" width="11.42578125" style="24"/>
    <col min="7076" max="7076" width="5.28515625" style="24" customWidth="1"/>
    <col min="7077" max="7077" width="25.42578125" style="24" customWidth="1"/>
    <col min="7078" max="7078" width="14" style="24" customWidth="1"/>
    <col min="7079" max="7079" width="9.28515625" style="24" customWidth="1"/>
    <col min="7080" max="7080" width="13.5703125" style="24" customWidth="1"/>
    <col min="7081" max="7081" width="12.140625" style="24" customWidth="1"/>
    <col min="7082" max="7082" width="10.7109375" style="24" customWidth="1"/>
    <col min="7083" max="7083" width="10.42578125" style="24" customWidth="1"/>
    <col min="7084" max="7084" width="10.5703125" style="24" customWidth="1"/>
    <col min="7085" max="7085" width="12.5703125" style="24" customWidth="1"/>
    <col min="7086" max="7086" width="12" style="24" customWidth="1"/>
    <col min="7087" max="7087" width="12.28515625" style="24" customWidth="1"/>
    <col min="7088" max="7088" width="0" style="24" hidden="1" customWidth="1"/>
    <col min="7089" max="7089" width="12.42578125" style="24" customWidth="1"/>
    <col min="7090" max="7090" width="11.28515625" style="24" customWidth="1"/>
    <col min="7091" max="7092" width="0" style="24" hidden="1" customWidth="1"/>
    <col min="7093" max="7093" width="8.85546875" style="24" bestFit="1" customWidth="1"/>
    <col min="7094" max="7331" width="11.42578125" style="24"/>
    <col min="7332" max="7332" width="5.28515625" style="24" customWidth="1"/>
    <col min="7333" max="7333" width="25.42578125" style="24" customWidth="1"/>
    <col min="7334" max="7334" width="14" style="24" customWidth="1"/>
    <col min="7335" max="7335" width="9.28515625" style="24" customWidth="1"/>
    <col min="7336" max="7336" width="13.5703125" style="24" customWidth="1"/>
    <col min="7337" max="7337" width="12.140625" style="24" customWidth="1"/>
    <col min="7338" max="7338" width="10.7109375" style="24" customWidth="1"/>
    <col min="7339" max="7339" width="10.42578125" style="24" customWidth="1"/>
    <col min="7340" max="7340" width="10.5703125" style="24" customWidth="1"/>
    <col min="7341" max="7341" width="12.5703125" style="24" customWidth="1"/>
    <col min="7342" max="7342" width="12" style="24" customWidth="1"/>
    <col min="7343" max="7343" width="12.28515625" style="24" customWidth="1"/>
    <col min="7344" max="7344" width="0" style="24" hidden="1" customWidth="1"/>
    <col min="7345" max="7345" width="12.42578125" style="24" customWidth="1"/>
    <col min="7346" max="7346" width="11.28515625" style="24" customWidth="1"/>
    <col min="7347" max="7348" width="0" style="24" hidden="1" customWidth="1"/>
    <col min="7349" max="7349" width="8.85546875" style="24" bestFit="1" customWidth="1"/>
    <col min="7350" max="7587" width="11.42578125" style="24"/>
    <col min="7588" max="7588" width="5.28515625" style="24" customWidth="1"/>
    <col min="7589" max="7589" width="25.42578125" style="24" customWidth="1"/>
    <col min="7590" max="7590" width="14" style="24" customWidth="1"/>
    <col min="7591" max="7591" width="9.28515625" style="24" customWidth="1"/>
    <col min="7592" max="7592" width="13.5703125" style="24" customWidth="1"/>
    <col min="7593" max="7593" width="12.140625" style="24" customWidth="1"/>
    <col min="7594" max="7594" width="10.7109375" style="24" customWidth="1"/>
    <col min="7595" max="7595" width="10.42578125" style="24" customWidth="1"/>
    <col min="7596" max="7596" width="10.5703125" style="24" customWidth="1"/>
    <col min="7597" max="7597" width="12.5703125" style="24" customWidth="1"/>
    <col min="7598" max="7598" width="12" style="24" customWidth="1"/>
    <col min="7599" max="7599" width="12.28515625" style="24" customWidth="1"/>
    <col min="7600" max="7600" width="0" style="24" hidden="1" customWidth="1"/>
    <col min="7601" max="7601" width="12.42578125" style="24" customWidth="1"/>
    <col min="7602" max="7602" width="11.28515625" style="24" customWidth="1"/>
    <col min="7603" max="7604" width="0" style="24" hidden="1" customWidth="1"/>
    <col min="7605" max="7605" width="8.85546875" style="24" bestFit="1" customWidth="1"/>
    <col min="7606" max="7843" width="11.42578125" style="24"/>
    <col min="7844" max="7844" width="5.28515625" style="24" customWidth="1"/>
    <col min="7845" max="7845" width="25.42578125" style="24" customWidth="1"/>
    <col min="7846" max="7846" width="14" style="24" customWidth="1"/>
    <col min="7847" max="7847" width="9.28515625" style="24" customWidth="1"/>
    <col min="7848" max="7848" width="13.5703125" style="24" customWidth="1"/>
    <col min="7849" max="7849" width="12.140625" style="24" customWidth="1"/>
    <col min="7850" max="7850" width="10.7109375" style="24" customWidth="1"/>
    <col min="7851" max="7851" width="10.42578125" style="24" customWidth="1"/>
    <col min="7852" max="7852" width="10.5703125" style="24" customWidth="1"/>
    <col min="7853" max="7853" width="12.5703125" style="24" customWidth="1"/>
    <col min="7854" max="7854" width="12" style="24" customWidth="1"/>
    <col min="7855" max="7855" width="12.28515625" style="24" customWidth="1"/>
    <col min="7856" max="7856" width="0" style="24" hidden="1" customWidth="1"/>
    <col min="7857" max="7857" width="12.42578125" style="24" customWidth="1"/>
    <col min="7858" max="7858" width="11.28515625" style="24" customWidth="1"/>
    <col min="7859" max="7860" width="0" style="24" hidden="1" customWidth="1"/>
    <col min="7861" max="7861" width="8.85546875" style="24" bestFit="1" customWidth="1"/>
    <col min="7862" max="8099" width="11.42578125" style="24"/>
    <col min="8100" max="8100" width="5.28515625" style="24" customWidth="1"/>
    <col min="8101" max="8101" width="25.42578125" style="24" customWidth="1"/>
    <col min="8102" max="8102" width="14" style="24" customWidth="1"/>
    <col min="8103" max="8103" width="9.28515625" style="24" customWidth="1"/>
    <col min="8104" max="8104" width="13.5703125" style="24" customWidth="1"/>
    <col min="8105" max="8105" width="12.140625" style="24" customWidth="1"/>
    <col min="8106" max="8106" width="10.7109375" style="24" customWidth="1"/>
    <col min="8107" max="8107" width="10.42578125" style="24" customWidth="1"/>
    <col min="8108" max="8108" width="10.5703125" style="24" customWidth="1"/>
    <col min="8109" max="8109" width="12.5703125" style="24" customWidth="1"/>
    <col min="8110" max="8110" width="12" style="24" customWidth="1"/>
    <col min="8111" max="8111" width="12.28515625" style="24" customWidth="1"/>
    <col min="8112" max="8112" width="0" style="24" hidden="1" customWidth="1"/>
    <col min="8113" max="8113" width="12.42578125" style="24" customWidth="1"/>
    <col min="8114" max="8114" width="11.28515625" style="24" customWidth="1"/>
    <col min="8115" max="8116" width="0" style="24" hidden="1" customWidth="1"/>
    <col min="8117" max="8117" width="8.85546875" style="24" bestFit="1" customWidth="1"/>
    <col min="8118" max="8355" width="11.42578125" style="24"/>
    <col min="8356" max="8356" width="5.28515625" style="24" customWidth="1"/>
    <col min="8357" max="8357" width="25.42578125" style="24" customWidth="1"/>
    <col min="8358" max="8358" width="14" style="24" customWidth="1"/>
    <col min="8359" max="8359" width="9.28515625" style="24" customWidth="1"/>
    <col min="8360" max="8360" width="13.5703125" style="24" customWidth="1"/>
    <col min="8361" max="8361" width="12.140625" style="24" customWidth="1"/>
    <col min="8362" max="8362" width="10.7109375" style="24" customWidth="1"/>
    <col min="8363" max="8363" width="10.42578125" style="24" customWidth="1"/>
    <col min="8364" max="8364" width="10.5703125" style="24" customWidth="1"/>
    <col min="8365" max="8365" width="12.5703125" style="24" customWidth="1"/>
    <col min="8366" max="8366" width="12" style="24" customWidth="1"/>
    <col min="8367" max="8367" width="12.28515625" style="24" customWidth="1"/>
    <col min="8368" max="8368" width="0" style="24" hidden="1" customWidth="1"/>
    <col min="8369" max="8369" width="12.42578125" style="24" customWidth="1"/>
    <col min="8370" max="8370" width="11.28515625" style="24" customWidth="1"/>
    <col min="8371" max="8372" width="0" style="24" hidden="1" customWidth="1"/>
    <col min="8373" max="8373" width="8.85546875" style="24" bestFit="1" customWidth="1"/>
    <col min="8374" max="8611" width="11.42578125" style="24"/>
    <col min="8612" max="8612" width="5.28515625" style="24" customWidth="1"/>
    <col min="8613" max="8613" width="25.42578125" style="24" customWidth="1"/>
    <col min="8614" max="8614" width="14" style="24" customWidth="1"/>
    <col min="8615" max="8615" width="9.28515625" style="24" customWidth="1"/>
    <col min="8616" max="8616" width="13.5703125" style="24" customWidth="1"/>
    <col min="8617" max="8617" width="12.140625" style="24" customWidth="1"/>
    <col min="8618" max="8618" width="10.7109375" style="24" customWidth="1"/>
    <col min="8619" max="8619" width="10.42578125" style="24" customWidth="1"/>
    <col min="8620" max="8620" width="10.5703125" style="24" customWidth="1"/>
    <col min="8621" max="8621" width="12.5703125" style="24" customWidth="1"/>
    <col min="8622" max="8622" width="12" style="24" customWidth="1"/>
    <col min="8623" max="8623" width="12.28515625" style="24" customWidth="1"/>
    <col min="8624" max="8624" width="0" style="24" hidden="1" customWidth="1"/>
    <col min="8625" max="8625" width="12.42578125" style="24" customWidth="1"/>
    <col min="8626" max="8626" width="11.28515625" style="24" customWidth="1"/>
    <col min="8627" max="8628" width="0" style="24" hidden="1" customWidth="1"/>
    <col min="8629" max="8629" width="8.85546875" style="24" bestFit="1" customWidth="1"/>
    <col min="8630" max="8867" width="11.42578125" style="24"/>
    <col min="8868" max="8868" width="5.28515625" style="24" customWidth="1"/>
    <col min="8869" max="8869" width="25.42578125" style="24" customWidth="1"/>
    <col min="8870" max="8870" width="14" style="24" customWidth="1"/>
    <col min="8871" max="8871" width="9.28515625" style="24" customWidth="1"/>
    <col min="8872" max="8872" width="13.5703125" style="24" customWidth="1"/>
    <col min="8873" max="8873" width="12.140625" style="24" customWidth="1"/>
    <col min="8874" max="8874" width="10.7109375" style="24" customWidth="1"/>
    <col min="8875" max="8875" width="10.42578125" style="24" customWidth="1"/>
    <col min="8876" max="8876" width="10.5703125" style="24" customWidth="1"/>
    <col min="8877" max="8877" width="12.5703125" style="24" customWidth="1"/>
    <col min="8878" max="8878" width="12" style="24" customWidth="1"/>
    <col min="8879" max="8879" width="12.28515625" style="24" customWidth="1"/>
    <col min="8880" max="8880" width="0" style="24" hidden="1" customWidth="1"/>
    <col min="8881" max="8881" width="12.42578125" style="24" customWidth="1"/>
    <col min="8882" max="8882" width="11.28515625" style="24" customWidth="1"/>
    <col min="8883" max="8884" width="0" style="24" hidden="1" customWidth="1"/>
    <col min="8885" max="8885" width="8.85546875" style="24" bestFit="1" customWidth="1"/>
    <col min="8886" max="9123" width="11.42578125" style="24"/>
    <col min="9124" max="9124" width="5.28515625" style="24" customWidth="1"/>
    <col min="9125" max="9125" width="25.42578125" style="24" customWidth="1"/>
    <col min="9126" max="9126" width="14" style="24" customWidth="1"/>
    <col min="9127" max="9127" width="9.28515625" style="24" customWidth="1"/>
    <col min="9128" max="9128" width="13.5703125" style="24" customWidth="1"/>
    <col min="9129" max="9129" width="12.140625" style="24" customWidth="1"/>
    <col min="9130" max="9130" width="10.7109375" style="24" customWidth="1"/>
    <col min="9131" max="9131" width="10.42578125" style="24" customWidth="1"/>
    <col min="9132" max="9132" width="10.5703125" style="24" customWidth="1"/>
    <col min="9133" max="9133" width="12.5703125" style="24" customWidth="1"/>
    <col min="9134" max="9134" width="12" style="24" customWidth="1"/>
    <col min="9135" max="9135" width="12.28515625" style="24" customWidth="1"/>
    <col min="9136" max="9136" width="0" style="24" hidden="1" customWidth="1"/>
    <col min="9137" max="9137" width="12.42578125" style="24" customWidth="1"/>
    <col min="9138" max="9138" width="11.28515625" style="24" customWidth="1"/>
    <col min="9139" max="9140" width="0" style="24" hidden="1" customWidth="1"/>
    <col min="9141" max="9141" width="8.85546875" style="24" bestFit="1" customWidth="1"/>
    <col min="9142" max="9379" width="11.42578125" style="24"/>
    <col min="9380" max="9380" width="5.28515625" style="24" customWidth="1"/>
    <col min="9381" max="9381" width="25.42578125" style="24" customWidth="1"/>
    <col min="9382" max="9382" width="14" style="24" customWidth="1"/>
    <col min="9383" max="9383" width="9.28515625" style="24" customWidth="1"/>
    <col min="9384" max="9384" width="13.5703125" style="24" customWidth="1"/>
    <col min="9385" max="9385" width="12.140625" style="24" customWidth="1"/>
    <col min="9386" max="9386" width="10.7109375" style="24" customWidth="1"/>
    <col min="9387" max="9387" width="10.42578125" style="24" customWidth="1"/>
    <col min="9388" max="9388" width="10.5703125" style="24" customWidth="1"/>
    <col min="9389" max="9389" width="12.5703125" style="24" customWidth="1"/>
    <col min="9390" max="9390" width="12" style="24" customWidth="1"/>
    <col min="9391" max="9391" width="12.28515625" style="24" customWidth="1"/>
    <col min="9392" max="9392" width="0" style="24" hidden="1" customWidth="1"/>
    <col min="9393" max="9393" width="12.42578125" style="24" customWidth="1"/>
    <col min="9394" max="9394" width="11.28515625" style="24" customWidth="1"/>
    <col min="9395" max="9396" width="0" style="24" hidden="1" customWidth="1"/>
    <col min="9397" max="9397" width="8.85546875" style="24" bestFit="1" customWidth="1"/>
    <col min="9398" max="9635" width="11.42578125" style="24"/>
    <col min="9636" max="9636" width="5.28515625" style="24" customWidth="1"/>
    <col min="9637" max="9637" width="25.42578125" style="24" customWidth="1"/>
    <col min="9638" max="9638" width="14" style="24" customWidth="1"/>
    <col min="9639" max="9639" width="9.28515625" style="24" customWidth="1"/>
    <col min="9640" max="9640" width="13.5703125" style="24" customWidth="1"/>
    <col min="9641" max="9641" width="12.140625" style="24" customWidth="1"/>
    <col min="9642" max="9642" width="10.7109375" style="24" customWidth="1"/>
    <col min="9643" max="9643" width="10.42578125" style="24" customWidth="1"/>
    <col min="9644" max="9644" width="10.5703125" style="24" customWidth="1"/>
    <col min="9645" max="9645" width="12.5703125" style="24" customWidth="1"/>
    <col min="9646" max="9646" width="12" style="24" customWidth="1"/>
    <col min="9647" max="9647" width="12.28515625" style="24" customWidth="1"/>
    <col min="9648" max="9648" width="0" style="24" hidden="1" customWidth="1"/>
    <col min="9649" max="9649" width="12.42578125" style="24" customWidth="1"/>
    <col min="9650" max="9650" width="11.28515625" style="24" customWidth="1"/>
    <col min="9651" max="9652" width="0" style="24" hidden="1" customWidth="1"/>
    <col min="9653" max="9653" width="8.85546875" style="24" bestFit="1" customWidth="1"/>
    <col min="9654" max="9891" width="11.42578125" style="24"/>
    <col min="9892" max="9892" width="5.28515625" style="24" customWidth="1"/>
    <col min="9893" max="9893" width="25.42578125" style="24" customWidth="1"/>
    <col min="9894" max="9894" width="14" style="24" customWidth="1"/>
    <col min="9895" max="9895" width="9.28515625" style="24" customWidth="1"/>
    <col min="9896" max="9896" width="13.5703125" style="24" customWidth="1"/>
    <col min="9897" max="9897" width="12.140625" style="24" customWidth="1"/>
    <col min="9898" max="9898" width="10.7109375" style="24" customWidth="1"/>
    <col min="9899" max="9899" width="10.42578125" style="24" customWidth="1"/>
    <col min="9900" max="9900" width="10.5703125" style="24" customWidth="1"/>
    <col min="9901" max="9901" width="12.5703125" style="24" customWidth="1"/>
    <col min="9902" max="9902" width="12" style="24" customWidth="1"/>
    <col min="9903" max="9903" width="12.28515625" style="24" customWidth="1"/>
    <col min="9904" max="9904" width="0" style="24" hidden="1" customWidth="1"/>
    <col min="9905" max="9905" width="12.42578125" style="24" customWidth="1"/>
    <col min="9906" max="9906" width="11.28515625" style="24" customWidth="1"/>
    <col min="9907" max="9908" width="0" style="24" hidden="1" customWidth="1"/>
    <col min="9909" max="9909" width="8.85546875" style="24" bestFit="1" customWidth="1"/>
    <col min="9910" max="10147" width="11.42578125" style="24"/>
    <col min="10148" max="10148" width="5.28515625" style="24" customWidth="1"/>
    <col min="10149" max="10149" width="25.42578125" style="24" customWidth="1"/>
    <col min="10150" max="10150" width="14" style="24" customWidth="1"/>
    <col min="10151" max="10151" width="9.28515625" style="24" customWidth="1"/>
    <col min="10152" max="10152" width="13.5703125" style="24" customWidth="1"/>
    <col min="10153" max="10153" width="12.140625" style="24" customWidth="1"/>
    <col min="10154" max="10154" width="10.7109375" style="24" customWidth="1"/>
    <col min="10155" max="10155" width="10.42578125" style="24" customWidth="1"/>
    <col min="10156" max="10156" width="10.5703125" style="24" customWidth="1"/>
    <col min="10157" max="10157" width="12.5703125" style="24" customWidth="1"/>
    <col min="10158" max="10158" width="12" style="24" customWidth="1"/>
    <col min="10159" max="10159" width="12.28515625" style="24" customWidth="1"/>
    <col min="10160" max="10160" width="0" style="24" hidden="1" customWidth="1"/>
    <col min="10161" max="10161" width="12.42578125" style="24" customWidth="1"/>
    <col min="10162" max="10162" width="11.28515625" style="24" customWidth="1"/>
    <col min="10163" max="10164" width="0" style="24" hidden="1" customWidth="1"/>
    <col min="10165" max="10165" width="8.85546875" style="24" bestFit="1" customWidth="1"/>
    <col min="10166" max="10403" width="11.42578125" style="24"/>
    <col min="10404" max="10404" width="5.28515625" style="24" customWidth="1"/>
    <col min="10405" max="10405" width="25.42578125" style="24" customWidth="1"/>
    <col min="10406" max="10406" width="14" style="24" customWidth="1"/>
    <col min="10407" max="10407" width="9.28515625" style="24" customWidth="1"/>
    <col min="10408" max="10408" width="13.5703125" style="24" customWidth="1"/>
    <col min="10409" max="10409" width="12.140625" style="24" customWidth="1"/>
    <col min="10410" max="10410" width="10.7109375" style="24" customWidth="1"/>
    <col min="10411" max="10411" width="10.42578125" style="24" customWidth="1"/>
    <col min="10412" max="10412" width="10.5703125" style="24" customWidth="1"/>
    <col min="10413" max="10413" width="12.5703125" style="24" customWidth="1"/>
    <col min="10414" max="10414" width="12" style="24" customWidth="1"/>
    <col min="10415" max="10415" width="12.28515625" style="24" customWidth="1"/>
    <col min="10416" max="10416" width="0" style="24" hidden="1" customWidth="1"/>
    <col min="10417" max="10417" width="12.42578125" style="24" customWidth="1"/>
    <col min="10418" max="10418" width="11.28515625" style="24" customWidth="1"/>
    <col min="10419" max="10420" width="0" style="24" hidden="1" customWidth="1"/>
    <col min="10421" max="10421" width="8.85546875" style="24" bestFit="1" customWidth="1"/>
    <col min="10422" max="10659" width="11.42578125" style="24"/>
    <col min="10660" max="10660" width="5.28515625" style="24" customWidth="1"/>
    <col min="10661" max="10661" width="25.42578125" style="24" customWidth="1"/>
    <col min="10662" max="10662" width="14" style="24" customWidth="1"/>
    <col min="10663" max="10663" width="9.28515625" style="24" customWidth="1"/>
    <col min="10664" max="10664" width="13.5703125" style="24" customWidth="1"/>
    <col min="10665" max="10665" width="12.140625" style="24" customWidth="1"/>
    <col min="10666" max="10666" width="10.7109375" style="24" customWidth="1"/>
    <col min="10667" max="10667" width="10.42578125" style="24" customWidth="1"/>
    <col min="10668" max="10668" width="10.5703125" style="24" customWidth="1"/>
    <col min="10669" max="10669" width="12.5703125" style="24" customWidth="1"/>
    <col min="10670" max="10670" width="12" style="24" customWidth="1"/>
    <col min="10671" max="10671" width="12.28515625" style="24" customWidth="1"/>
    <col min="10672" max="10672" width="0" style="24" hidden="1" customWidth="1"/>
    <col min="10673" max="10673" width="12.42578125" style="24" customWidth="1"/>
    <col min="10674" max="10674" width="11.28515625" style="24" customWidth="1"/>
    <col min="10675" max="10676" width="0" style="24" hidden="1" customWidth="1"/>
    <col min="10677" max="10677" width="8.85546875" style="24" bestFit="1" customWidth="1"/>
    <col min="10678" max="10915" width="11.42578125" style="24"/>
    <col min="10916" max="10916" width="5.28515625" style="24" customWidth="1"/>
    <col min="10917" max="10917" width="25.42578125" style="24" customWidth="1"/>
    <col min="10918" max="10918" width="14" style="24" customWidth="1"/>
    <col min="10919" max="10919" width="9.28515625" style="24" customWidth="1"/>
    <col min="10920" max="10920" width="13.5703125" style="24" customWidth="1"/>
    <col min="10921" max="10921" width="12.140625" style="24" customWidth="1"/>
    <col min="10922" max="10922" width="10.7109375" style="24" customWidth="1"/>
    <col min="10923" max="10923" width="10.42578125" style="24" customWidth="1"/>
    <col min="10924" max="10924" width="10.5703125" style="24" customWidth="1"/>
    <col min="10925" max="10925" width="12.5703125" style="24" customWidth="1"/>
    <col min="10926" max="10926" width="12" style="24" customWidth="1"/>
    <col min="10927" max="10927" width="12.28515625" style="24" customWidth="1"/>
    <col min="10928" max="10928" width="0" style="24" hidden="1" customWidth="1"/>
    <col min="10929" max="10929" width="12.42578125" style="24" customWidth="1"/>
    <col min="10930" max="10930" width="11.28515625" style="24" customWidth="1"/>
    <col min="10931" max="10932" width="0" style="24" hidden="1" customWidth="1"/>
    <col min="10933" max="10933" width="8.85546875" style="24" bestFit="1" customWidth="1"/>
    <col min="10934" max="11171" width="11.42578125" style="24"/>
    <col min="11172" max="11172" width="5.28515625" style="24" customWidth="1"/>
    <col min="11173" max="11173" width="25.42578125" style="24" customWidth="1"/>
    <col min="11174" max="11174" width="14" style="24" customWidth="1"/>
    <col min="11175" max="11175" width="9.28515625" style="24" customWidth="1"/>
    <col min="11176" max="11176" width="13.5703125" style="24" customWidth="1"/>
    <col min="11177" max="11177" width="12.140625" style="24" customWidth="1"/>
    <col min="11178" max="11178" width="10.7109375" style="24" customWidth="1"/>
    <col min="11179" max="11179" width="10.42578125" style="24" customWidth="1"/>
    <col min="11180" max="11180" width="10.5703125" style="24" customWidth="1"/>
    <col min="11181" max="11181" width="12.5703125" style="24" customWidth="1"/>
    <col min="11182" max="11182" width="12" style="24" customWidth="1"/>
    <col min="11183" max="11183" width="12.28515625" style="24" customWidth="1"/>
    <col min="11184" max="11184" width="0" style="24" hidden="1" customWidth="1"/>
    <col min="11185" max="11185" width="12.42578125" style="24" customWidth="1"/>
    <col min="11186" max="11186" width="11.28515625" style="24" customWidth="1"/>
    <col min="11187" max="11188" width="0" style="24" hidden="1" customWidth="1"/>
    <col min="11189" max="11189" width="8.85546875" style="24" bestFit="1" customWidth="1"/>
    <col min="11190" max="11427" width="11.42578125" style="24"/>
    <col min="11428" max="11428" width="5.28515625" style="24" customWidth="1"/>
    <col min="11429" max="11429" width="25.42578125" style="24" customWidth="1"/>
    <col min="11430" max="11430" width="14" style="24" customWidth="1"/>
    <col min="11431" max="11431" width="9.28515625" style="24" customWidth="1"/>
    <col min="11432" max="11432" width="13.5703125" style="24" customWidth="1"/>
    <col min="11433" max="11433" width="12.140625" style="24" customWidth="1"/>
    <col min="11434" max="11434" width="10.7109375" style="24" customWidth="1"/>
    <col min="11435" max="11435" width="10.42578125" style="24" customWidth="1"/>
    <col min="11436" max="11436" width="10.5703125" style="24" customWidth="1"/>
    <col min="11437" max="11437" width="12.5703125" style="24" customWidth="1"/>
    <col min="11438" max="11438" width="12" style="24" customWidth="1"/>
    <col min="11439" max="11439" width="12.28515625" style="24" customWidth="1"/>
    <col min="11440" max="11440" width="0" style="24" hidden="1" customWidth="1"/>
    <col min="11441" max="11441" width="12.42578125" style="24" customWidth="1"/>
    <col min="11442" max="11442" width="11.28515625" style="24" customWidth="1"/>
    <col min="11443" max="11444" width="0" style="24" hidden="1" customWidth="1"/>
    <col min="11445" max="11445" width="8.85546875" style="24" bestFit="1" customWidth="1"/>
    <col min="11446" max="11683" width="11.42578125" style="24"/>
    <col min="11684" max="11684" width="5.28515625" style="24" customWidth="1"/>
    <col min="11685" max="11685" width="25.42578125" style="24" customWidth="1"/>
    <col min="11686" max="11686" width="14" style="24" customWidth="1"/>
    <col min="11687" max="11687" width="9.28515625" style="24" customWidth="1"/>
    <col min="11688" max="11688" width="13.5703125" style="24" customWidth="1"/>
    <col min="11689" max="11689" width="12.140625" style="24" customWidth="1"/>
    <col min="11690" max="11690" width="10.7109375" style="24" customWidth="1"/>
    <col min="11691" max="11691" width="10.42578125" style="24" customWidth="1"/>
    <col min="11692" max="11692" width="10.5703125" style="24" customWidth="1"/>
    <col min="11693" max="11693" width="12.5703125" style="24" customWidth="1"/>
    <col min="11694" max="11694" width="12" style="24" customWidth="1"/>
    <col min="11695" max="11695" width="12.28515625" style="24" customWidth="1"/>
    <col min="11696" max="11696" width="0" style="24" hidden="1" customWidth="1"/>
    <col min="11697" max="11697" width="12.42578125" style="24" customWidth="1"/>
    <col min="11698" max="11698" width="11.28515625" style="24" customWidth="1"/>
    <col min="11699" max="11700" width="0" style="24" hidden="1" customWidth="1"/>
    <col min="11701" max="11701" width="8.85546875" style="24" bestFit="1" customWidth="1"/>
    <col min="11702" max="11939" width="11.42578125" style="24"/>
    <col min="11940" max="11940" width="5.28515625" style="24" customWidth="1"/>
    <col min="11941" max="11941" width="25.42578125" style="24" customWidth="1"/>
    <col min="11942" max="11942" width="14" style="24" customWidth="1"/>
    <col min="11943" max="11943" width="9.28515625" style="24" customWidth="1"/>
    <col min="11944" max="11944" width="13.5703125" style="24" customWidth="1"/>
    <col min="11945" max="11945" width="12.140625" style="24" customWidth="1"/>
    <col min="11946" max="11946" width="10.7109375" style="24" customWidth="1"/>
    <col min="11947" max="11947" width="10.42578125" style="24" customWidth="1"/>
    <col min="11948" max="11948" width="10.5703125" style="24" customWidth="1"/>
    <col min="11949" max="11949" width="12.5703125" style="24" customWidth="1"/>
    <col min="11950" max="11950" width="12" style="24" customWidth="1"/>
    <col min="11951" max="11951" width="12.28515625" style="24" customWidth="1"/>
    <col min="11952" max="11952" width="0" style="24" hidden="1" customWidth="1"/>
    <col min="11953" max="11953" width="12.42578125" style="24" customWidth="1"/>
    <col min="11954" max="11954" width="11.28515625" style="24" customWidth="1"/>
    <col min="11955" max="11956" width="0" style="24" hidden="1" customWidth="1"/>
    <col min="11957" max="11957" width="8.85546875" style="24" bestFit="1" customWidth="1"/>
    <col min="11958" max="12195" width="11.42578125" style="24"/>
    <col min="12196" max="12196" width="5.28515625" style="24" customWidth="1"/>
    <col min="12197" max="12197" width="25.42578125" style="24" customWidth="1"/>
    <col min="12198" max="12198" width="14" style="24" customWidth="1"/>
    <col min="12199" max="12199" width="9.28515625" style="24" customWidth="1"/>
    <col min="12200" max="12200" width="13.5703125" style="24" customWidth="1"/>
    <col min="12201" max="12201" width="12.140625" style="24" customWidth="1"/>
    <col min="12202" max="12202" width="10.7109375" style="24" customWidth="1"/>
    <col min="12203" max="12203" width="10.42578125" style="24" customWidth="1"/>
    <col min="12204" max="12204" width="10.5703125" style="24" customWidth="1"/>
    <col min="12205" max="12205" width="12.5703125" style="24" customWidth="1"/>
    <col min="12206" max="12206" width="12" style="24" customWidth="1"/>
    <col min="12207" max="12207" width="12.28515625" style="24" customWidth="1"/>
    <col min="12208" max="12208" width="0" style="24" hidden="1" customWidth="1"/>
    <col min="12209" max="12209" width="12.42578125" style="24" customWidth="1"/>
    <col min="12210" max="12210" width="11.28515625" style="24" customWidth="1"/>
    <col min="12211" max="12212" width="0" style="24" hidden="1" customWidth="1"/>
    <col min="12213" max="12213" width="8.85546875" style="24" bestFit="1" customWidth="1"/>
    <col min="12214" max="12451" width="11.42578125" style="24"/>
    <col min="12452" max="12452" width="5.28515625" style="24" customWidth="1"/>
    <col min="12453" max="12453" width="25.42578125" style="24" customWidth="1"/>
    <col min="12454" max="12454" width="14" style="24" customWidth="1"/>
    <col min="12455" max="12455" width="9.28515625" style="24" customWidth="1"/>
    <col min="12456" max="12456" width="13.5703125" style="24" customWidth="1"/>
    <col min="12457" max="12457" width="12.140625" style="24" customWidth="1"/>
    <col min="12458" max="12458" width="10.7109375" style="24" customWidth="1"/>
    <col min="12459" max="12459" width="10.42578125" style="24" customWidth="1"/>
    <col min="12460" max="12460" width="10.5703125" style="24" customWidth="1"/>
    <col min="12461" max="12461" width="12.5703125" style="24" customWidth="1"/>
    <col min="12462" max="12462" width="12" style="24" customWidth="1"/>
    <col min="12463" max="12463" width="12.28515625" style="24" customWidth="1"/>
    <col min="12464" max="12464" width="0" style="24" hidden="1" customWidth="1"/>
    <col min="12465" max="12465" width="12.42578125" style="24" customWidth="1"/>
    <col min="12466" max="12466" width="11.28515625" style="24" customWidth="1"/>
    <col min="12467" max="12468" width="0" style="24" hidden="1" customWidth="1"/>
    <col min="12469" max="12469" width="8.85546875" style="24" bestFit="1" customWidth="1"/>
    <col min="12470" max="12707" width="11.42578125" style="24"/>
    <col min="12708" max="12708" width="5.28515625" style="24" customWidth="1"/>
    <col min="12709" max="12709" width="25.42578125" style="24" customWidth="1"/>
    <col min="12710" max="12710" width="14" style="24" customWidth="1"/>
    <col min="12711" max="12711" width="9.28515625" style="24" customWidth="1"/>
    <col min="12712" max="12712" width="13.5703125" style="24" customWidth="1"/>
    <col min="12713" max="12713" width="12.140625" style="24" customWidth="1"/>
    <col min="12714" max="12714" width="10.7109375" style="24" customWidth="1"/>
    <col min="12715" max="12715" width="10.42578125" style="24" customWidth="1"/>
    <col min="12716" max="12716" width="10.5703125" style="24" customWidth="1"/>
    <col min="12717" max="12717" width="12.5703125" style="24" customWidth="1"/>
    <col min="12718" max="12718" width="12" style="24" customWidth="1"/>
    <col min="12719" max="12719" width="12.28515625" style="24" customWidth="1"/>
    <col min="12720" max="12720" width="0" style="24" hidden="1" customWidth="1"/>
    <col min="12721" max="12721" width="12.42578125" style="24" customWidth="1"/>
    <col min="12722" max="12722" width="11.28515625" style="24" customWidth="1"/>
    <col min="12723" max="12724" width="0" style="24" hidden="1" customWidth="1"/>
    <col min="12725" max="12725" width="8.85546875" style="24" bestFit="1" customWidth="1"/>
    <col min="12726" max="12963" width="11.42578125" style="24"/>
    <col min="12964" max="12964" width="5.28515625" style="24" customWidth="1"/>
    <col min="12965" max="12965" width="25.42578125" style="24" customWidth="1"/>
    <col min="12966" max="12966" width="14" style="24" customWidth="1"/>
    <col min="12967" max="12967" width="9.28515625" style="24" customWidth="1"/>
    <col min="12968" max="12968" width="13.5703125" style="24" customWidth="1"/>
    <col min="12969" max="12969" width="12.140625" style="24" customWidth="1"/>
    <col min="12970" max="12970" width="10.7109375" style="24" customWidth="1"/>
    <col min="12971" max="12971" width="10.42578125" style="24" customWidth="1"/>
    <col min="12972" max="12972" width="10.5703125" style="24" customWidth="1"/>
    <col min="12973" max="12973" width="12.5703125" style="24" customWidth="1"/>
    <col min="12974" max="12974" width="12" style="24" customWidth="1"/>
    <col min="12975" max="12975" width="12.28515625" style="24" customWidth="1"/>
    <col min="12976" max="12976" width="0" style="24" hidden="1" customWidth="1"/>
    <col min="12977" max="12977" width="12.42578125" style="24" customWidth="1"/>
    <col min="12978" max="12978" width="11.28515625" style="24" customWidth="1"/>
    <col min="12979" max="12980" width="0" style="24" hidden="1" customWidth="1"/>
    <col min="12981" max="12981" width="8.85546875" style="24" bestFit="1" customWidth="1"/>
    <col min="12982" max="13219" width="11.42578125" style="24"/>
    <col min="13220" max="13220" width="5.28515625" style="24" customWidth="1"/>
    <col min="13221" max="13221" width="25.42578125" style="24" customWidth="1"/>
    <col min="13222" max="13222" width="14" style="24" customWidth="1"/>
    <col min="13223" max="13223" width="9.28515625" style="24" customWidth="1"/>
    <col min="13224" max="13224" width="13.5703125" style="24" customWidth="1"/>
    <col min="13225" max="13225" width="12.140625" style="24" customWidth="1"/>
    <col min="13226" max="13226" width="10.7109375" style="24" customWidth="1"/>
    <col min="13227" max="13227" width="10.42578125" style="24" customWidth="1"/>
    <col min="13228" max="13228" width="10.5703125" style="24" customWidth="1"/>
    <col min="13229" max="13229" width="12.5703125" style="24" customWidth="1"/>
    <col min="13230" max="13230" width="12" style="24" customWidth="1"/>
    <col min="13231" max="13231" width="12.28515625" style="24" customWidth="1"/>
    <col min="13232" max="13232" width="0" style="24" hidden="1" customWidth="1"/>
    <col min="13233" max="13233" width="12.42578125" style="24" customWidth="1"/>
    <col min="13234" max="13234" width="11.28515625" style="24" customWidth="1"/>
    <col min="13235" max="13236" width="0" style="24" hidden="1" customWidth="1"/>
    <col min="13237" max="13237" width="8.85546875" style="24" bestFit="1" customWidth="1"/>
    <col min="13238" max="13475" width="11.42578125" style="24"/>
    <col min="13476" max="13476" width="5.28515625" style="24" customWidth="1"/>
    <col min="13477" max="13477" width="25.42578125" style="24" customWidth="1"/>
    <col min="13478" max="13478" width="14" style="24" customWidth="1"/>
    <col min="13479" max="13479" width="9.28515625" style="24" customWidth="1"/>
    <col min="13480" max="13480" width="13.5703125" style="24" customWidth="1"/>
    <col min="13481" max="13481" width="12.140625" style="24" customWidth="1"/>
    <col min="13482" max="13482" width="10.7109375" style="24" customWidth="1"/>
    <col min="13483" max="13483" width="10.42578125" style="24" customWidth="1"/>
    <col min="13484" max="13484" width="10.5703125" style="24" customWidth="1"/>
    <col min="13485" max="13485" width="12.5703125" style="24" customWidth="1"/>
    <col min="13486" max="13486" width="12" style="24" customWidth="1"/>
    <col min="13487" max="13487" width="12.28515625" style="24" customWidth="1"/>
    <col min="13488" max="13488" width="0" style="24" hidden="1" customWidth="1"/>
    <col min="13489" max="13489" width="12.42578125" style="24" customWidth="1"/>
    <col min="13490" max="13490" width="11.28515625" style="24" customWidth="1"/>
    <col min="13491" max="13492" width="0" style="24" hidden="1" customWidth="1"/>
    <col min="13493" max="13493" width="8.85546875" style="24" bestFit="1" customWidth="1"/>
    <col min="13494" max="13731" width="11.42578125" style="24"/>
    <col min="13732" max="13732" width="5.28515625" style="24" customWidth="1"/>
    <col min="13733" max="13733" width="25.42578125" style="24" customWidth="1"/>
    <col min="13734" max="13734" width="14" style="24" customWidth="1"/>
    <col min="13735" max="13735" width="9.28515625" style="24" customWidth="1"/>
    <col min="13736" max="13736" width="13.5703125" style="24" customWidth="1"/>
    <col min="13737" max="13737" width="12.140625" style="24" customWidth="1"/>
    <col min="13738" max="13738" width="10.7109375" style="24" customWidth="1"/>
    <col min="13739" max="13739" width="10.42578125" style="24" customWidth="1"/>
    <col min="13740" max="13740" width="10.5703125" style="24" customWidth="1"/>
    <col min="13741" max="13741" width="12.5703125" style="24" customWidth="1"/>
    <col min="13742" max="13742" width="12" style="24" customWidth="1"/>
    <col min="13743" max="13743" width="12.28515625" style="24" customWidth="1"/>
    <col min="13744" max="13744" width="0" style="24" hidden="1" customWidth="1"/>
    <col min="13745" max="13745" width="12.42578125" style="24" customWidth="1"/>
    <col min="13746" max="13746" width="11.28515625" style="24" customWidth="1"/>
    <col min="13747" max="13748" width="0" style="24" hidden="1" customWidth="1"/>
    <col min="13749" max="13749" width="8.85546875" style="24" bestFit="1" customWidth="1"/>
    <col min="13750" max="13987" width="11.42578125" style="24"/>
    <col min="13988" max="13988" width="5.28515625" style="24" customWidth="1"/>
    <col min="13989" max="13989" width="25.42578125" style="24" customWidth="1"/>
    <col min="13990" max="13990" width="14" style="24" customWidth="1"/>
    <col min="13991" max="13991" width="9.28515625" style="24" customWidth="1"/>
    <col min="13992" max="13992" width="13.5703125" style="24" customWidth="1"/>
    <col min="13993" max="13993" width="12.140625" style="24" customWidth="1"/>
    <col min="13994" max="13994" width="10.7109375" style="24" customWidth="1"/>
    <col min="13995" max="13995" width="10.42578125" style="24" customWidth="1"/>
    <col min="13996" max="13996" width="10.5703125" style="24" customWidth="1"/>
    <col min="13997" max="13997" width="12.5703125" style="24" customWidth="1"/>
    <col min="13998" max="13998" width="12" style="24" customWidth="1"/>
    <col min="13999" max="13999" width="12.28515625" style="24" customWidth="1"/>
    <col min="14000" max="14000" width="0" style="24" hidden="1" customWidth="1"/>
    <col min="14001" max="14001" width="12.42578125" style="24" customWidth="1"/>
    <col min="14002" max="14002" width="11.28515625" style="24" customWidth="1"/>
    <col min="14003" max="14004" width="0" style="24" hidden="1" customWidth="1"/>
    <col min="14005" max="14005" width="8.85546875" style="24" bestFit="1" customWidth="1"/>
    <col min="14006" max="14243" width="11.42578125" style="24"/>
    <col min="14244" max="14244" width="5.28515625" style="24" customWidth="1"/>
    <col min="14245" max="14245" width="25.42578125" style="24" customWidth="1"/>
    <col min="14246" max="14246" width="14" style="24" customWidth="1"/>
    <col min="14247" max="14247" width="9.28515625" style="24" customWidth="1"/>
    <col min="14248" max="14248" width="13.5703125" style="24" customWidth="1"/>
    <col min="14249" max="14249" width="12.140625" style="24" customWidth="1"/>
    <col min="14250" max="14250" width="10.7109375" style="24" customWidth="1"/>
    <col min="14251" max="14251" width="10.42578125" style="24" customWidth="1"/>
    <col min="14252" max="14252" width="10.5703125" style="24" customWidth="1"/>
    <col min="14253" max="14253" width="12.5703125" style="24" customWidth="1"/>
    <col min="14254" max="14254" width="12" style="24" customWidth="1"/>
    <col min="14255" max="14255" width="12.28515625" style="24" customWidth="1"/>
    <col min="14256" max="14256" width="0" style="24" hidden="1" customWidth="1"/>
    <col min="14257" max="14257" width="12.42578125" style="24" customWidth="1"/>
    <col min="14258" max="14258" width="11.28515625" style="24" customWidth="1"/>
    <col min="14259" max="14260" width="0" style="24" hidden="1" customWidth="1"/>
    <col min="14261" max="14261" width="8.85546875" style="24" bestFit="1" customWidth="1"/>
    <col min="14262" max="14499" width="11.42578125" style="24"/>
    <col min="14500" max="14500" width="5.28515625" style="24" customWidth="1"/>
    <col min="14501" max="14501" width="25.42578125" style="24" customWidth="1"/>
    <col min="14502" max="14502" width="14" style="24" customWidth="1"/>
    <col min="14503" max="14503" width="9.28515625" style="24" customWidth="1"/>
    <col min="14504" max="14504" width="13.5703125" style="24" customWidth="1"/>
    <col min="14505" max="14505" width="12.140625" style="24" customWidth="1"/>
    <col min="14506" max="14506" width="10.7109375" style="24" customWidth="1"/>
    <col min="14507" max="14507" width="10.42578125" style="24" customWidth="1"/>
    <col min="14508" max="14508" width="10.5703125" style="24" customWidth="1"/>
    <col min="14509" max="14509" width="12.5703125" style="24" customWidth="1"/>
    <col min="14510" max="14510" width="12" style="24" customWidth="1"/>
    <col min="14511" max="14511" width="12.28515625" style="24" customWidth="1"/>
    <col min="14512" max="14512" width="0" style="24" hidden="1" customWidth="1"/>
    <col min="14513" max="14513" width="12.42578125" style="24" customWidth="1"/>
    <col min="14514" max="14514" width="11.28515625" style="24" customWidth="1"/>
    <col min="14515" max="14516" width="0" style="24" hidden="1" customWidth="1"/>
    <col min="14517" max="14517" width="8.85546875" style="24" bestFit="1" customWidth="1"/>
    <col min="14518" max="14755" width="11.42578125" style="24"/>
    <col min="14756" max="14756" width="5.28515625" style="24" customWidth="1"/>
    <col min="14757" max="14757" width="25.42578125" style="24" customWidth="1"/>
    <col min="14758" max="14758" width="14" style="24" customWidth="1"/>
    <col min="14759" max="14759" width="9.28515625" style="24" customWidth="1"/>
    <col min="14760" max="14760" width="13.5703125" style="24" customWidth="1"/>
    <col min="14761" max="14761" width="12.140625" style="24" customWidth="1"/>
    <col min="14762" max="14762" width="10.7109375" style="24" customWidth="1"/>
    <col min="14763" max="14763" width="10.42578125" style="24" customWidth="1"/>
    <col min="14764" max="14764" width="10.5703125" style="24" customWidth="1"/>
    <col min="14765" max="14765" width="12.5703125" style="24" customWidth="1"/>
    <col min="14766" max="14766" width="12" style="24" customWidth="1"/>
    <col min="14767" max="14767" width="12.28515625" style="24" customWidth="1"/>
    <col min="14768" max="14768" width="0" style="24" hidden="1" customWidth="1"/>
    <col min="14769" max="14769" width="12.42578125" style="24" customWidth="1"/>
    <col min="14770" max="14770" width="11.28515625" style="24" customWidth="1"/>
    <col min="14771" max="14772" width="0" style="24" hidden="1" customWidth="1"/>
    <col min="14773" max="14773" width="8.85546875" style="24" bestFit="1" customWidth="1"/>
    <col min="14774" max="15011" width="11.42578125" style="24"/>
    <col min="15012" max="15012" width="5.28515625" style="24" customWidth="1"/>
    <col min="15013" max="15013" width="25.42578125" style="24" customWidth="1"/>
    <col min="15014" max="15014" width="14" style="24" customWidth="1"/>
    <col min="15015" max="15015" width="9.28515625" style="24" customWidth="1"/>
    <col min="15016" max="15016" width="13.5703125" style="24" customWidth="1"/>
    <col min="15017" max="15017" width="12.140625" style="24" customWidth="1"/>
    <col min="15018" max="15018" width="10.7109375" style="24" customWidth="1"/>
    <col min="15019" max="15019" width="10.42578125" style="24" customWidth="1"/>
    <col min="15020" max="15020" width="10.5703125" style="24" customWidth="1"/>
    <col min="15021" max="15021" width="12.5703125" style="24" customWidth="1"/>
    <col min="15022" max="15022" width="12" style="24" customWidth="1"/>
    <col min="15023" max="15023" width="12.28515625" style="24" customWidth="1"/>
    <col min="15024" max="15024" width="0" style="24" hidden="1" customWidth="1"/>
    <col min="15025" max="15025" width="12.42578125" style="24" customWidth="1"/>
    <col min="15026" max="15026" width="11.28515625" style="24" customWidth="1"/>
    <col min="15027" max="15028" width="0" style="24" hidden="1" customWidth="1"/>
    <col min="15029" max="15029" width="8.85546875" style="24" bestFit="1" customWidth="1"/>
    <col min="15030" max="15267" width="11.42578125" style="24"/>
    <col min="15268" max="15268" width="5.28515625" style="24" customWidth="1"/>
    <col min="15269" max="15269" width="25.42578125" style="24" customWidth="1"/>
    <col min="15270" max="15270" width="14" style="24" customWidth="1"/>
    <col min="15271" max="15271" width="9.28515625" style="24" customWidth="1"/>
    <col min="15272" max="15272" width="13.5703125" style="24" customWidth="1"/>
    <col min="15273" max="15273" width="12.140625" style="24" customWidth="1"/>
    <col min="15274" max="15274" width="10.7109375" style="24" customWidth="1"/>
    <col min="15275" max="15275" width="10.42578125" style="24" customWidth="1"/>
    <col min="15276" max="15276" width="10.5703125" style="24" customWidth="1"/>
    <col min="15277" max="15277" width="12.5703125" style="24" customWidth="1"/>
    <col min="15278" max="15278" width="12" style="24" customWidth="1"/>
    <col min="15279" max="15279" width="12.28515625" style="24" customWidth="1"/>
    <col min="15280" max="15280" width="0" style="24" hidden="1" customWidth="1"/>
    <col min="15281" max="15281" width="12.42578125" style="24" customWidth="1"/>
    <col min="15282" max="15282" width="11.28515625" style="24" customWidth="1"/>
    <col min="15283" max="15284" width="0" style="24" hidden="1" customWidth="1"/>
    <col min="15285" max="15285" width="8.85546875" style="24" bestFit="1" customWidth="1"/>
    <col min="15286" max="15523" width="11.42578125" style="24"/>
    <col min="15524" max="15524" width="5.28515625" style="24" customWidth="1"/>
    <col min="15525" max="15525" width="25.42578125" style="24" customWidth="1"/>
    <col min="15526" max="15526" width="14" style="24" customWidth="1"/>
    <col min="15527" max="15527" width="9.28515625" style="24" customWidth="1"/>
    <col min="15528" max="15528" width="13.5703125" style="24" customWidth="1"/>
    <col min="15529" max="15529" width="12.140625" style="24" customWidth="1"/>
    <col min="15530" max="15530" width="10.7109375" style="24" customWidth="1"/>
    <col min="15531" max="15531" width="10.42578125" style="24" customWidth="1"/>
    <col min="15532" max="15532" width="10.5703125" style="24" customWidth="1"/>
    <col min="15533" max="15533" width="12.5703125" style="24" customWidth="1"/>
    <col min="15534" max="15534" width="12" style="24" customWidth="1"/>
    <col min="15535" max="15535" width="12.28515625" style="24" customWidth="1"/>
    <col min="15536" max="15536" width="0" style="24" hidden="1" customWidth="1"/>
    <col min="15537" max="15537" width="12.42578125" style="24" customWidth="1"/>
    <col min="15538" max="15538" width="11.28515625" style="24" customWidth="1"/>
    <col min="15539" max="15540" width="0" style="24" hidden="1" customWidth="1"/>
    <col min="15541" max="15541" width="8.85546875" style="24" bestFit="1" customWidth="1"/>
    <col min="15542" max="15779" width="11.42578125" style="24"/>
    <col min="15780" max="15780" width="5.28515625" style="24" customWidth="1"/>
    <col min="15781" max="15781" width="25.42578125" style="24" customWidth="1"/>
    <col min="15782" max="15782" width="14" style="24" customWidth="1"/>
    <col min="15783" max="15783" width="9.28515625" style="24" customWidth="1"/>
    <col min="15784" max="15784" width="13.5703125" style="24" customWidth="1"/>
    <col min="15785" max="15785" width="12.140625" style="24" customWidth="1"/>
    <col min="15786" max="15786" width="10.7109375" style="24" customWidth="1"/>
    <col min="15787" max="15787" width="10.42578125" style="24" customWidth="1"/>
    <col min="15788" max="15788" width="10.5703125" style="24" customWidth="1"/>
    <col min="15789" max="15789" width="12.5703125" style="24" customWidth="1"/>
    <col min="15790" max="15790" width="12" style="24" customWidth="1"/>
    <col min="15791" max="15791" width="12.28515625" style="24" customWidth="1"/>
    <col min="15792" max="15792" width="0" style="24" hidden="1" customWidth="1"/>
    <col min="15793" max="15793" width="12.42578125" style="24" customWidth="1"/>
    <col min="15794" max="15794" width="11.28515625" style="24" customWidth="1"/>
    <col min="15795" max="15796" width="0" style="24" hidden="1" customWidth="1"/>
    <col min="15797" max="15797" width="8.85546875" style="24" bestFit="1" customWidth="1"/>
    <col min="15798" max="16035" width="11.42578125" style="24"/>
    <col min="16036" max="16036" width="5.28515625" style="24" customWidth="1"/>
    <col min="16037" max="16037" width="25.42578125" style="24" customWidth="1"/>
    <col min="16038" max="16038" width="14" style="24" customWidth="1"/>
    <col min="16039" max="16039" width="9.28515625" style="24" customWidth="1"/>
    <col min="16040" max="16040" width="13.5703125" style="24" customWidth="1"/>
    <col min="16041" max="16041" width="12.140625" style="24" customWidth="1"/>
    <col min="16042" max="16042" width="10.7109375" style="24" customWidth="1"/>
    <col min="16043" max="16043" width="10.42578125" style="24" customWidth="1"/>
    <col min="16044" max="16044" width="10.5703125" style="24" customWidth="1"/>
    <col min="16045" max="16045" width="12.5703125" style="24" customWidth="1"/>
    <col min="16046" max="16046" width="12" style="24" customWidth="1"/>
    <col min="16047" max="16047" width="12.28515625" style="24" customWidth="1"/>
    <col min="16048" max="16048" width="0" style="24" hidden="1" customWidth="1"/>
    <col min="16049" max="16049" width="12.42578125" style="24" customWidth="1"/>
    <col min="16050" max="16050" width="11.28515625" style="24" customWidth="1"/>
    <col min="16051" max="16052" width="0" style="24" hidden="1" customWidth="1"/>
    <col min="16053" max="16053" width="8.85546875" style="24" bestFit="1" customWidth="1"/>
    <col min="16054" max="16384" width="11.42578125" style="24"/>
  </cols>
  <sheetData>
    <row r="1" spans="1:17" s="22" customFormat="1" ht="29.45" customHeight="1" x14ac:dyDescent="0.2">
      <c r="A1" s="223" t="s">
        <v>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17" s="22" customFormat="1" ht="21" customHeight="1" x14ac:dyDescent="0.2">
      <c r="A2" s="224" t="s">
        <v>115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7" s="22" customFormat="1" ht="21" customHeight="1" x14ac:dyDescent="0.2">
      <c r="A3" s="224" t="s">
        <v>22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7" s="2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89"/>
      <c r="N4" s="23"/>
      <c r="O4" s="23"/>
      <c r="P4" s="23"/>
    </row>
    <row r="5" spans="1:17" ht="25.5" customHeight="1" x14ac:dyDescent="0.2">
      <c r="A5" s="225" t="s">
        <v>23</v>
      </c>
      <c r="B5" s="228" t="s">
        <v>24</v>
      </c>
      <c r="C5" s="228" t="s">
        <v>25</v>
      </c>
      <c r="D5" s="231" t="s">
        <v>26</v>
      </c>
      <c r="E5" s="232"/>
      <c r="F5" s="232"/>
      <c r="G5" s="232"/>
      <c r="H5" s="233"/>
      <c r="I5" s="231" t="s">
        <v>27</v>
      </c>
      <c r="J5" s="232"/>
      <c r="K5" s="232"/>
      <c r="L5" s="232"/>
      <c r="M5" s="232"/>
      <c r="N5" s="232"/>
      <c r="O5" s="232"/>
      <c r="P5" s="232"/>
      <c r="Q5" s="233"/>
    </row>
    <row r="6" spans="1:17" ht="21" customHeight="1" x14ac:dyDescent="0.2">
      <c r="A6" s="226"/>
      <c r="B6" s="229"/>
      <c r="C6" s="229"/>
      <c r="D6" s="228" t="s">
        <v>71</v>
      </c>
      <c r="E6" s="228" t="s">
        <v>28</v>
      </c>
      <c r="F6" s="228" t="s">
        <v>29</v>
      </c>
      <c r="G6" s="216" t="s">
        <v>30</v>
      </c>
      <c r="H6" s="216"/>
      <c r="I6" s="216" t="s">
        <v>31</v>
      </c>
      <c r="J6" s="216" t="s">
        <v>32</v>
      </c>
      <c r="K6" s="216" t="s">
        <v>33</v>
      </c>
      <c r="L6" s="216" t="s">
        <v>34</v>
      </c>
      <c r="M6" s="214" t="s">
        <v>110</v>
      </c>
      <c r="N6" s="216" t="s">
        <v>111</v>
      </c>
      <c r="O6" s="216" t="s">
        <v>112</v>
      </c>
      <c r="P6" s="216"/>
      <c r="Q6" s="228" t="s">
        <v>39</v>
      </c>
    </row>
    <row r="7" spans="1:17" ht="17.25" customHeight="1" x14ac:dyDescent="0.2">
      <c r="A7" s="227"/>
      <c r="B7" s="230"/>
      <c r="C7" s="230"/>
      <c r="D7" s="230"/>
      <c r="E7" s="230"/>
      <c r="F7" s="230"/>
      <c r="G7" s="82" t="s">
        <v>40</v>
      </c>
      <c r="H7" s="82" t="s">
        <v>0</v>
      </c>
      <c r="I7" s="216"/>
      <c r="J7" s="216"/>
      <c r="K7" s="216"/>
      <c r="L7" s="216"/>
      <c r="M7" s="215"/>
      <c r="N7" s="216"/>
      <c r="O7" s="82" t="s">
        <v>41</v>
      </c>
      <c r="P7" s="82" t="s">
        <v>0</v>
      </c>
      <c r="Q7" s="230"/>
    </row>
    <row r="8" spans="1:17" ht="28.5" customHeight="1" x14ac:dyDescent="0.2">
      <c r="A8" s="26">
        <v>1</v>
      </c>
      <c r="B8" s="36" t="s">
        <v>44</v>
      </c>
      <c r="C8" s="28" t="s">
        <v>86</v>
      </c>
      <c r="D8" s="29">
        <v>1031</v>
      </c>
      <c r="E8" s="29">
        <v>393</v>
      </c>
      <c r="F8" s="29">
        <v>393</v>
      </c>
      <c r="G8" s="29">
        <f>+'Tula Subsidio'!G8+'UACh Subsidio'!G8</f>
        <v>0</v>
      </c>
      <c r="H8" s="29">
        <f>+'Tula Subsidio'!H8+'UACh Subsidio'!H8</f>
        <v>0</v>
      </c>
      <c r="I8" s="84">
        <f>31532*2</f>
        <v>63064</v>
      </c>
      <c r="J8" s="29">
        <f>+'Tula Subsidio'!J8+'UACh Subsidio'!J8</f>
        <v>0</v>
      </c>
      <c r="K8" s="29">
        <f>+'Tula Subsidio'!K8+'UACh Subsidio'!K8</f>
        <v>0</v>
      </c>
      <c r="L8" s="84">
        <f>31532*2</f>
        <v>63064</v>
      </c>
      <c r="M8" s="84">
        <f>2267*2</f>
        <v>4534</v>
      </c>
      <c r="N8" s="84">
        <f>2187*2</f>
        <v>4374</v>
      </c>
      <c r="O8" s="57">
        <f>+M8-N8</f>
        <v>160</v>
      </c>
      <c r="P8" s="118">
        <f>+O8/M8</f>
        <v>3.5288928098809E-2</v>
      </c>
      <c r="Q8" s="30" t="s">
        <v>3</v>
      </c>
    </row>
    <row r="9" spans="1:17" ht="28.5" customHeight="1" x14ac:dyDescent="0.2">
      <c r="A9" s="26">
        <f>+A8+1</f>
        <v>2</v>
      </c>
      <c r="B9" s="36" t="s">
        <v>45</v>
      </c>
      <c r="C9" s="28" t="s">
        <v>87</v>
      </c>
      <c r="D9" s="29">
        <v>8</v>
      </c>
      <c r="E9" s="29">
        <f>+'Tula Subsidio'!E9</f>
        <v>0</v>
      </c>
      <c r="F9" s="29">
        <f>+'Tula Subsidio'!F9</f>
        <v>0</v>
      </c>
      <c r="G9" s="29">
        <f>+'Tula Subsidio'!G9</f>
        <v>0</v>
      </c>
      <c r="H9" s="29">
        <f>+'Tula Subsidio'!H9</f>
        <v>0</v>
      </c>
      <c r="I9" s="84">
        <f>69197*2</f>
        <v>138394</v>
      </c>
      <c r="J9" s="29">
        <f>+'Tula Subsidio'!J9</f>
        <v>0</v>
      </c>
      <c r="K9" s="29">
        <f>+'Tula Subsidio'!K9</f>
        <v>0</v>
      </c>
      <c r="L9" s="84">
        <f>69197*2</f>
        <v>138394</v>
      </c>
      <c r="M9" s="84">
        <f>10507*2</f>
        <v>21014</v>
      </c>
      <c r="N9" s="84">
        <f>6942*2</f>
        <v>13884</v>
      </c>
      <c r="O9" s="57">
        <f t="shared" ref="O9:O24" si="0">+M9-N9</f>
        <v>7130</v>
      </c>
      <c r="P9" s="118">
        <f>+O9/M9</f>
        <v>0.33929761111639861</v>
      </c>
      <c r="Q9" s="30" t="s">
        <v>4</v>
      </c>
    </row>
    <row r="10" spans="1:17" s="34" customFormat="1" ht="28.5" customHeight="1" x14ac:dyDescent="0.2">
      <c r="A10" s="26">
        <f t="shared" ref="A10:A24" si="1">+A9+1</f>
        <v>3</v>
      </c>
      <c r="B10" s="36" t="s">
        <v>46</v>
      </c>
      <c r="C10" s="33" t="s">
        <v>125</v>
      </c>
      <c r="D10" s="29">
        <v>1</v>
      </c>
      <c r="E10" s="29">
        <v>0</v>
      </c>
      <c r="F10" s="29">
        <v>0</v>
      </c>
      <c r="G10" s="29">
        <f>+'Tula Subsidio'!G10+'UACh Subsidio'!G9</f>
        <v>0</v>
      </c>
      <c r="H10" s="29">
        <f>+'Tula Subsidio'!H10+'UACh Subsidio'!H9</f>
        <v>0</v>
      </c>
      <c r="I10" s="84">
        <f>6022*2</f>
        <v>12044</v>
      </c>
      <c r="J10" s="29">
        <f>+'Tula Subsidio'!J10+'UACh Subsidio'!J9</f>
        <v>0</v>
      </c>
      <c r="K10" s="29">
        <f>+'Tula Subsidio'!K10+'UACh Subsidio'!K9</f>
        <v>0</v>
      </c>
      <c r="L10" s="84">
        <f>6022*2</f>
        <v>12044</v>
      </c>
      <c r="M10" s="84">
        <f>2051*2</f>
        <v>4102</v>
      </c>
      <c r="N10" s="84">
        <f>1040*2</f>
        <v>2080</v>
      </c>
      <c r="O10" s="57">
        <f t="shared" si="0"/>
        <v>2022</v>
      </c>
      <c r="P10" s="118">
        <f t="shared" ref="P10:P24" si="2">+O10/M10</f>
        <v>0.49293027791321309</v>
      </c>
      <c r="Q10" s="30" t="s">
        <v>5</v>
      </c>
    </row>
    <row r="11" spans="1:17" ht="28.5" customHeight="1" x14ac:dyDescent="0.2">
      <c r="A11" s="26">
        <f t="shared" si="1"/>
        <v>4</v>
      </c>
      <c r="B11" s="36" t="s">
        <v>47</v>
      </c>
      <c r="C11" s="28" t="s">
        <v>43</v>
      </c>
      <c r="D11" s="29">
        <f>+'Tula Subsidio'!D11</f>
        <v>4</v>
      </c>
      <c r="E11" s="29">
        <v>1</v>
      </c>
      <c r="F11" s="29">
        <v>1</v>
      </c>
      <c r="G11" s="29">
        <f>+'Tula Subsidio'!G11</f>
        <v>0</v>
      </c>
      <c r="H11" s="29">
        <f>+'Tula Subsidio'!H11</f>
        <v>0</v>
      </c>
      <c r="I11" s="84">
        <f>8470*2</f>
        <v>16940</v>
      </c>
      <c r="J11" s="29">
        <f>+'Tula Subsidio'!J11</f>
        <v>0</v>
      </c>
      <c r="K11" s="29">
        <f>+'Tula Subsidio'!K11</f>
        <v>0</v>
      </c>
      <c r="L11" s="84">
        <f>8470*2</f>
        <v>16940</v>
      </c>
      <c r="M11" s="84">
        <f>3334*2</f>
        <v>6668</v>
      </c>
      <c r="N11" s="84">
        <f>3622*2</f>
        <v>7244</v>
      </c>
      <c r="O11" s="57">
        <f t="shared" si="0"/>
        <v>-576</v>
      </c>
      <c r="P11" s="118">
        <f t="shared" si="2"/>
        <v>-8.6382723455308938E-2</v>
      </c>
      <c r="Q11" s="30" t="s">
        <v>6</v>
      </c>
    </row>
    <row r="12" spans="1:17" ht="28.5" customHeight="1" x14ac:dyDescent="0.2">
      <c r="A12" s="26">
        <f t="shared" si="1"/>
        <v>5</v>
      </c>
      <c r="B12" s="36" t="s">
        <v>48</v>
      </c>
      <c r="C12" s="28" t="s">
        <v>49</v>
      </c>
      <c r="D12" s="29">
        <v>2800</v>
      </c>
      <c r="E12" s="29">
        <v>2501</v>
      </c>
      <c r="F12" s="29">
        <v>2501</v>
      </c>
      <c r="G12" s="29">
        <f>+'Tula Subsidio'!G12+'UACh Subsidio'!G10</f>
        <v>0</v>
      </c>
      <c r="H12" s="29">
        <f>+'Tula Subsidio'!H12+'UACh Subsidio'!H10</f>
        <v>0</v>
      </c>
      <c r="I12" s="84">
        <f>426463*2</f>
        <v>852926</v>
      </c>
      <c r="J12" s="29">
        <f>+'Tula Subsidio'!J12+'UACh Subsidio'!J10</f>
        <v>0</v>
      </c>
      <c r="K12" s="29">
        <f>+'Tula Subsidio'!K12+'UACh Subsidio'!K10</f>
        <v>0</v>
      </c>
      <c r="L12" s="84">
        <f>426463*2</f>
        <v>852926</v>
      </c>
      <c r="M12" s="84">
        <f>113927*2</f>
        <v>227854</v>
      </c>
      <c r="N12" s="84">
        <f>81559*2</f>
        <v>163118</v>
      </c>
      <c r="O12" s="57">
        <f t="shared" si="0"/>
        <v>64736</v>
      </c>
      <c r="P12" s="118">
        <f t="shared" si="2"/>
        <v>0.28411175577343384</v>
      </c>
      <c r="Q12" s="30" t="s">
        <v>7</v>
      </c>
    </row>
    <row r="13" spans="1:17" s="34" customFormat="1" ht="28.5" customHeight="1" x14ac:dyDescent="0.2">
      <c r="A13" s="26">
        <f t="shared" si="1"/>
        <v>6</v>
      </c>
      <c r="B13" s="36" t="s">
        <v>50</v>
      </c>
      <c r="C13" s="33" t="s">
        <v>90</v>
      </c>
      <c r="D13" s="29">
        <v>1012</v>
      </c>
      <c r="E13" s="29">
        <v>372</v>
      </c>
      <c r="F13" s="29">
        <v>372</v>
      </c>
      <c r="G13" s="29">
        <f>+'Tula Subsidio'!G13</f>
        <v>0</v>
      </c>
      <c r="H13" s="29">
        <f>+'Tula Subsidio'!H13</f>
        <v>0</v>
      </c>
      <c r="I13" s="84">
        <f>12921*2</f>
        <v>25842</v>
      </c>
      <c r="J13" s="29">
        <f>+'Tula Subsidio'!J13</f>
        <v>0</v>
      </c>
      <c r="K13" s="29">
        <f>+'Tula Subsidio'!K13</f>
        <v>0</v>
      </c>
      <c r="L13" s="84">
        <f>12921*2</f>
        <v>25842</v>
      </c>
      <c r="M13" s="84">
        <f>3593*2</f>
        <v>7186</v>
      </c>
      <c r="N13" s="84">
        <f>3088*2</f>
        <v>6176</v>
      </c>
      <c r="O13" s="57">
        <f t="shared" si="0"/>
        <v>1010</v>
      </c>
      <c r="P13" s="118">
        <f t="shared" si="2"/>
        <v>0.14055107152797106</v>
      </c>
      <c r="Q13" s="30" t="s">
        <v>8</v>
      </c>
    </row>
    <row r="14" spans="1:17" s="34" customFormat="1" ht="28.5" customHeight="1" x14ac:dyDescent="0.2">
      <c r="A14" s="26">
        <f t="shared" si="1"/>
        <v>7</v>
      </c>
      <c r="B14" s="36" t="s">
        <v>52</v>
      </c>
      <c r="C14" s="28" t="s">
        <v>117</v>
      </c>
      <c r="D14" s="29">
        <v>7629</v>
      </c>
      <c r="E14" s="29">
        <v>2329</v>
      </c>
      <c r="F14" s="29">
        <v>2329</v>
      </c>
      <c r="G14" s="29">
        <f>+'Tula Subsidio'!G14</f>
        <v>0</v>
      </c>
      <c r="H14" s="29">
        <f>+'Tula Subsidio'!H14</f>
        <v>0</v>
      </c>
      <c r="I14" s="84">
        <f>58516*2</f>
        <v>117032</v>
      </c>
      <c r="J14" s="29">
        <f>+'Tula Subsidio'!J14</f>
        <v>0</v>
      </c>
      <c r="K14" s="29">
        <f>+'Tula Subsidio'!K14</f>
        <v>0</v>
      </c>
      <c r="L14" s="84">
        <f>58516*2</f>
        <v>117032</v>
      </c>
      <c r="M14" s="84">
        <f>21043*2</f>
        <v>42086</v>
      </c>
      <c r="N14" s="84">
        <f>18852*2</f>
        <v>37704</v>
      </c>
      <c r="O14" s="57">
        <f t="shared" si="0"/>
        <v>4382</v>
      </c>
      <c r="P14" s="118">
        <f t="shared" si="2"/>
        <v>0.10412013496174499</v>
      </c>
      <c r="Q14" s="30" t="s">
        <v>9</v>
      </c>
    </row>
    <row r="15" spans="1:17" s="34" customFormat="1" ht="28.5" customHeight="1" x14ac:dyDescent="0.2">
      <c r="A15" s="26">
        <f t="shared" si="1"/>
        <v>8</v>
      </c>
      <c r="B15" s="36" t="s">
        <v>53</v>
      </c>
      <c r="C15" s="28" t="s">
        <v>54</v>
      </c>
      <c r="D15" s="29">
        <v>56</v>
      </c>
      <c r="E15" s="29">
        <v>30</v>
      </c>
      <c r="F15" s="29">
        <v>30</v>
      </c>
      <c r="G15" s="29">
        <f>+'Tula Subsidio'!G15+'UACh Subsidio'!G11</f>
        <v>0</v>
      </c>
      <c r="H15" s="29">
        <f>+'Tula Subsidio'!H15+'UACh Subsidio'!H11</f>
        <v>0</v>
      </c>
      <c r="I15" s="84">
        <f>64618*2</f>
        <v>129236</v>
      </c>
      <c r="J15" s="29">
        <f>+'Tula Subsidio'!J15+'UACh Subsidio'!J11</f>
        <v>0</v>
      </c>
      <c r="K15" s="29">
        <f>+'Tula Subsidio'!K15+'UACh Subsidio'!K11</f>
        <v>0</v>
      </c>
      <c r="L15" s="84">
        <f>64618*2</f>
        <v>129236</v>
      </c>
      <c r="M15" s="84">
        <f>15784*2</f>
        <v>31568</v>
      </c>
      <c r="N15" s="84">
        <f>10648*2</f>
        <v>21296</v>
      </c>
      <c r="O15" s="57">
        <f t="shared" si="0"/>
        <v>10272</v>
      </c>
      <c r="P15" s="118">
        <f t="shared" si="2"/>
        <v>0.32539280283831729</v>
      </c>
      <c r="Q15" s="30" t="s">
        <v>10</v>
      </c>
    </row>
    <row r="16" spans="1:17" ht="28.5" customHeight="1" x14ac:dyDescent="0.2">
      <c r="A16" s="26">
        <f t="shared" si="1"/>
        <v>9</v>
      </c>
      <c r="B16" s="36" t="s">
        <v>56</v>
      </c>
      <c r="C16" s="28" t="s">
        <v>57</v>
      </c>
      <c r="D16" s="29">
        <v>20</v>
      </c>
      <c r="E16" s="29">
        <v>5</v>
      </c>
      <c r="F16" s="29">
        <v>5</v>
      </c>
      <c r="G16" s="29">
        <f>+'Tula Subsidio'!G16+'UACh Subsidio'!G12</f>
        <v>0</v>
      </c>
      <c r="H16" s="29">
        <f>+'Tula Subsidio'!H16+'UACh Subsidio'!H12</f>
        <v>0</v>
      </c>
      <c r="I16" s="84">
        <f>65126*2</f>
        <v>130252</v>
      </c>
      <c r="J16" s="29">
        <f>+'Tula Subsidio'!J16+'UACh Subsidio'!J12</f>
        <v>0</v>
      </c>
      <c r="K16" s="29">
        <f>+'Tula Subsidio'!K16+'UACh Subsidio'!K12</f>
        <v>0</v>
      </c>
      <c r="L16" s="84">
        <f>65126*2</f>
        <v>130252</v>
      </c>
      <c r="M16" s="84">
        <f>16689*2</f>
        <v>33378</v>
      </c>
      <c r="N16" s="84">
        <f>16739*2</f>
        <v>33478</v>
      </c>
      <c r="O16" s="57">
        <f t="shared" si="0"/>
        <v>-100</v>
      </c>
      <c r="P16" s="118">
        <f t="shared" si="2"/>
        <v>-2.9959853795913476E-3</v>
      </c>
      <c r="Q16" s="30" t="s">
        <v>11</v>
      </c>
    </row>
    <row r="17" spans="1:17" s="34" customFormat="1" ht="28.5" customHeight="1" x14ac:dyDescent="0.2">
      <c r="A17" s="26">
        <f t="shared" si="1"/>
        <v>10</v>
      </c>
      <c r="B17" s="36" t="s">
        <v>55</v>
      </c>
      <c r="C17" s="28" t="s">
        <v>91</v>
      </c>
      <c r="D17" s="29">
        <v>1</v>
      </c>
      <c r="E17" s="29">
        <v>0</v>
      </c>
      <c r="F17" s="29">
        <v>0</v>
      </c>
      <c r="G17" s="29">
        <f>+'Tula Subsidio'!G17</f>
        <v>0</v>
      </c>
      <c r="H17" s="29">
        <f>+'Tula Subsidio'!H17</f>
        <v>0</v>
      </c>
      <c r="I17" s="84">
        <f>2638*2</f>
        <v>5276</v>
      </c>
      <c r="J17" s="29">
        <f>+'Tula Subsidio'!J17</f>
        <v>0</v>
      </c>
      <c r="K17" s="29">
        <f>+'Tula Subsidio'!K17</f>
        <v>0</v>
      </c>
      <c r="L17" s="84">
        <f>2638*2</f>
        <v>5276</v>
      </c>
      <c r="M17" s="84">
        <f>1508*2</f>
        <v>3016</v>
      </c>
      <c r="N17" s="84">
        <f>1727*2</f>
        <v>3454</v>
      </c>
      <c r="O17" s="57">
        <f t="shared" si="0"/>
        <v>-438</v>
      </c>
      <c r="P17" s="118">
        <f t="shared" si="2"/>
        <v>-0.14522546419098142</v>
      </c>
      <c r="Q17" s="30" t="s">
        <v>12</v>
      </c>
    </row>
    <row r="18" spans="1:17" ht="28.5" customHeight="1" x14ac:dyDescent="0.2">
      <c r="A18" s="26">
        <f t="shared" si="1"/>
        <v>11</v>
      </c>
      <c r="B18" s="36" t="s">
        <v>42</v>
      </c>
      <c r="C18" s="28" t="s">
        <v>43</v>
      </c>
      <c r="D18" s="29">
        <f>+'Tula Subsidio'!D18</f>
        <v>4</v>
      </c>
      <c r="E18" s="29">
        <v>2</v>
      </c>
      <c r="F18" s="29">
        <v>2</v>
      </c>
      <c r="G18" s="29">
        <f>+'Tula Subsidio'!G18</f>
        <v>0</v>
      </c>
      <c r="H18" s="29">
        <f>+'Tula Subsidio'!H18</f>
        <v>0</v>
      </c>
      <c r="I18" s="84">
        <f>66197*2</f>
        <v>132394</v>
      </c>
      <c r="J18" s="29">
        <f>+'Tula Subsidio'!J18</f>
        <v>0</v>
      </c>
      <c r="K18" s="29">
        <f>+'Tula Subsidio'!K18</f>
        <v>0</v>
      </c>
      <c r="L18" s="84">
        <f>66197*2</f>
        <v>132394</v>
      </c>
      <c r="M18" s="84">
        <f>19201*2</f>
        <v>38402</v>
      </c>
      <c r="N18" s="84">
        <f>18315*2</f>
        <v>36630</v>
      </c>
      <c r="O18" s="57">
        <f t="shared" si="0"/>
        <v>1772</v>
      </c>
      <c r="P18" s="118">
        <f t="shared" si="2"/>
        <v>4.6143430029685954E-2</v>
      </c>
      <c r="Q18" s="30" t="s">
        <v>14</v>
      </c>
    </row>
    <row r="19" spans="1:17" s="34" customFormat="1" ht="28.5" customHeight="1" x14ac:dyDescent="0.2">
      <c r="A19" s="26">
        <f t="shared" si="1"/>
        <v>12</v>
      </c>
      <c r="B19" s="36" t="s">
        <v>128</v>
      </c>
      <c r="C19" s="28" t="s">
        <v>62</v>
      </c>
      <c r="D19" s="29">
        <v>174</v>
      </c>
      <c r="E19" s="29">
        <v>60</v>
      </c>
      <c r="F19" s="29">
        <v>60</v>
      </c>
      <c r="G19" s="29">
        <f>+'Tula Subsidio'!G19+'UACh Subsidio'!G13</f>
        <v>0</v>
      </c>
      <c r="H19" s="29">
        <f>+'Tula Subsidio'!H19+'UACh Subsidio'!H13</f>
        <v>0</v>
      </c>
      <c r="I19" s="84">
        <f>190134*2</f>
        <v>380268</v>
      </c>
      <c r="J19" s="29">
        <f>+'Tula Subsidio'!J19+'UACh Subsidio'!J13</f>
        <v>0</v>
      </c>
      <c r="K19" s="29">
        <f>+'Tula Subsidio'!K19+'UACh Subsidio'!K13</f>
        <v>0</v>
      </c>
      <c r="L19" s="84">
        <f>190134*2</f>
        <v>380268</v>
      </c>
      <c r="M19" s="84">
        <f>11958*2</f>
        <v>23916</v>
      </c>
      <c r="N19" s="84">
        <f>12746*2</f>
        <v>25492</v>
      </c>
      <c r="O19" s="57">
        <f t="shared" si="0"/>
        <v>-1576</v>
      </c>
      <c r="P19" s="118">
        <f t="shared" si="2"/>
        <v>-6.5897307242013717E-2</v>
      </c>
      <c r="Q19" s="35" t="s">
        <v>16</v>
      </c>
    </row>
    <row r="20" spans="1:17" ht="28.5" customHeight="1" x14ac:dyDescent="0.2">
      <c r="A20" s="26">
        <f t="shared" si="1"/>
        <v>13</v>
      </c>
      <c r="B20" s="36" t="s">
        <v>58</v>
      </c>
      <c r="C20" s="28" t="s">
        <v>92</v>
      </c>
      <c r="D20" s="29">
        <v>60</v>
      </c>
      <c r="E20" s="29">
        <v>4</v>
      </c>
      <c r="F20" s="29">
        <v>4</v>
      </c>
      <c r="G20" s="29">
        <f>+'Tula Subsidio'!G20</f>
        <v>0</v>
      </c>
      <c r="H20" s="29">
        <f>+'Tula Subsidio'!H20</f>
        <v>0</v>
      </c>
      <c r="I20" s="84">
        <f>51315*2</f>
        <v>102630</v>
      </c>
      <c r="J20" s="29">
        <f>+'Tula Subsidio'!J20</f>
        <v>0</v>
      </c>
      <c r="K20" s="29">
        <f>+'Tula Subsidio'!K20</f>
        <v>0</v>
      </c>
      <c r="L20" s="84">
        <f>51315*2</f>
        <v>102630</v>
      </c>
      <c r="M20" s="84">
        <f>4320*2</f>
        <v>8640</v>
      </c>
      <c r="N20" s="84">
        <f>4320*2</f>
        <v>8640</v>
      </c>
      <c r="O20" s="57">
        <f t="shared" si="0"/>
        <v>0</v>
      </c>
      <c r="P20" s="118">
        <f t="shared" si="2"/>
        <v>0</v>
      </c>
      <c r="Q20" s="35" t="s">
        <v>17</v>
      </c>
    </row>
    <row r="21" spans="1:17" s="34" customFormat="1" ht="28.5" customHeight="1" x14ac:dyDescent="0.2">
      <c r="A21" s="26">
        <f t="shared" si="1"/>
        <v>14</v>
      </c>
      <c r="B21" s="36" t="s">
        <v>63</v>
      </c>
      <c r="C21" s="28" t="s">
        <v>93</v>
      </c>
      <c r="D21" s="29">
        <v>58</v>
      </c>
      <c r="E21" s="29">
        <v>15</v>
      </c>
      <c r="F21" s="29">
        <v>15</v>
      </c>
      <c r="G21" s="29">
        <f>+'Tula Subsidio'!G21+'UACh Subsidio'!G14</f>
        <v>0</v>
      </c>
      <c r="H21" s="29">
        <f>+'Tula Subsidio'!H21+'UACh Subsidio'!H14</f>
        <v>0</v>
      </c>
      <c r="I21" s="84">
        <f>1462820*2</f>
        <v>2925640</v>
      </c>
      <c r="J21" s="29">
        <f>+'Tula Subsidio'!J21+'UACh Subsidio'!J14</f>
        <v>0</v>
      </c>
      <c r="K21" s="29">
        <f>+'Tula Subsidio'!K21+'UACh Subsidio'!K14</f>
        <v>0</v>
      </c>
      <c r="L21" s="84">
        <f>1462820*2</f>
        <v>2925640</v>
      </c>
      <c r="M21" s="84">
        <f>715652*2</f>
        <v>1431304</v>
      </c>
      <c r="N21" s="84">
        <f>701173*2-1</f>
        <v>1402345</v>
      </c>
      <c r="O21" s="57">
        <f t="shared" si="0"/>
        <v>28959</v>
      </c>
      <c r="P21" s="118">
        <f t="shared" si="2"/>
        <v>2.0232599084471222E-2</v>
      </c>
      <c r="Q21" s="35" t="s">
        <v>18</v>
      </c>
    </row>
    <row r="22" spans="1:17" s="34" customFormat="1" ht="28.5" customHeight="1" x14ac:dyDescent="0.2">
      <c r="A22" s="26">
        <f t="shared" si="1"/>
        <v>15</v>
      </c>
      <c r="B22" s="36" t="s">
        <v>65</v>
      </c>
      <c r="C22" s="37" t="s">
        <v>66</v>
      </c>
      <c r="D22" s="29">
        <f>+'Tula Subsidio'!D22+'UACh Subsidio'!D15-1</f>
        <v>1</v>
      </c>
      <c r="E22" s="29">
        <f>+'Tula Subsidio'!E22+'UACh Subsidio'!E15</f>
        <v>0.25</v>
      </c>
      <c r="F22" s="29">
        <f>+'Tula Subsidio'!F22+'UACh Subsidio'!F15</f>
        <v>0.25</v>
      </c>
      <c r="G22" s="29">
        <f>+'Tula Subsidio'!G22+'UACh Subsidio'!G15</f>
        <v>0</v>
      </c>
      <c r="H22" s="29">
        <f>+'Tula Subsidio'!H22+'UACh Subsidio'!H15</f>
        <v>0</v>
      </c>
      <c r="I22" s="84">
        <f>33034131*2</f>
        <v>66068262</v>
      </c>
      <c r="J22" s="29">
        <f>+'Tula Subsidio'!J22+'UACh Subsidio'!J15</f>
        <v>0</v>
      </c>
      <c r="K22" s="29">
        <f>+'Tula Subsidio'!K22+'UACh Subsidio'!K15</f>
        <v>0</v>
      </c>
      <c r="L22" s="84">
        <f>33034131*2</f>
        <v>66068262</v>
      </c>
      <c r="M22" s="84">
        <f>8185518*2</f>
        <v>16371036</v>
      </c>
      <c r="N22" s="84">
        <f>7400497*2-1</f>
        <v>14800993</v>
      </c>
      <c r="O22" s="57">
        <f t="shared" si="0"/>
        <v>1570043</v>
      </c>
      <c r="P22" s="118">
        <f t="shared" si="2"/>
        <v>9.5903704567017023E-2</v>
      </c>
      <c r="Q22" s="35" t="s">
        <v>19</v>
      </c>
    </row>
    <row r="23" spans="1:17" s="34" customFormat="1" ht="28.5" customHeight="1" x14ac:dyDescent="0.2">
      <c r="A23" s="26">
        <f t="shared" si="1"/>
        <v>16</v>
      </c>
      <c r="B23" s="36" t="s">
        <v>123</v>
      </c>
      <c r="C23" s="33" t="s">
        <v>60</v>
      </c>
      <c r="D23" s="29">
        <v>4</v>
      </c>
      <c r="E23" s="29">
        <f>+'Tula Subsidio'!E23</f>
        <v>0</v>
      </c>
      <c r="F23" s="29">
        <f>+'Tula Subsidio'!F23</f>
        <v>0</v>
      </c>
      <c r="G23" s="29">
        <f>+'Tula Subsidio'!G23</f>
        <v>0</v>
      </c>
      <c r="H23" s="29">
        <f>+'Tula Subsidio'!H23</f>
        <v>0</v>
      </c>
      <c r="I23" s="84">
        <f>297876*2</f>
        <v>595752</v>
      </c>
      <c r="J23" s="29">
        <f>+'Tula Subsidio'!J23</f>
        <v>0</v>
      </c>
      <c r="K23" s="29">
        <f>+'Tula Subsidio'!K23</f>
        <v>0</v>
      </c>
      <c r="L23" s="84">
        <f>297876*2</f>
        <v>595752</v>
      </c>
      <c r="M23" s="84">
        <f>119787*2</f>
        <v>239574</v>
      </c>
      <c r="N23" s="84">
        <f>117186*2-1</f>
        <v>234371</v>
      </c>
      <c r="O23" s="57">
        <f t="shared" si="0"/>
        <v>5203</v>
      </c>
      <c r="P23" s="118">
        <f t="shared" si="2"/>
        <v>2.1717715611877748E-2</v>
      </c>
      <c r="Q23" s="30" t="s">
        <v>20</v>
      </c>
    </row>
    <row r="24" spans="1:17" s="34" customFormat="1" ht="28.5" customHeight="1" x14ac:dyDescent="0.2">
      <c r="A24" s="26">
        <f t="shared" si="1"/>
        <v>17</v>
      </c>
      <c r="B24" s="36" t="s">
        <v>124</v>
      </c>
      <c r="C24" s="37" t="s">
        <v>94</v>
      </c>
      <c r="D24" s="29">
        <v>61</v>
      </c>
      <c r="E24" s="29">
        <f>+'Tula Subsidio'!E24</f>
        <v>15</v>
      </c>
      <c r="F24" s="29">
        <f>+'Tula Subsidio'!F24</f>
        <v>15</v>
      </c>
      <c r="G24" s="29">
        <f>+'Tula Subsidio'!G24</f>
        <v>0</v>
      </c>
      <c r="H24" s="29">
        <f>+'Tula Subsidio'!H24</f>
        <v>0</v>
      </c>
      <c r="I24" s="84">
        <f>55952*2</f>
        <v>111904</v>
      </c>
      <c r="J24" s="29">
        <f>+'Tula Subsidio'!J24</f>
        <v>0</v>
      </c>
      <c r="K24" s="29">
        <f>+'Tula Subsidio'!K24</f>
        <v>0</v>
      </c>
      <c r="L24" s="84">
        <f>55952*2</f>
        <v>111904</v>
      </c>
      <c r="M24" s="84">
        <f>11931*2</f>
        <v>23862</v>
      </c>
      <c r="N24" s="84">
        <f>7233*2</f>
        <v>14466</v>
      </c>
      <c r="O24" s="57">
        <f t="shared" si="0"/>
        <v>9396</v>
      </c>
      <c r="P24" s="118">
        <f t="shared" si="2"/>
        <v>0.39376414382700525</v>
      </c>
      <c r="Q24" s="30" t="s">
        <v>21</v>
      </c>
    </row>
    <row r="25" spans="1:17" s="45" customFormat="1" ht="30" customHeight="1" x14ac:dyDescent="0.2">
      <c r="A25" s="220" t="s">
        <v>1</v>
      </c>
      <c r="B25" s="221"/>
      <c r="C25" s="222"/>
      <c r="D25" s="99">
        <f>SUM(D8:D24)</f>
        <v>12924</v>
      </c>
      <c r="E25" s="100">
        <f>SUM(E8:E24)</f>
        <v>5727.25</v>
      </c>
      <c r="F25" s="100">
        <f>SUM(F8:F24)</f>
        <v>5727.25</v>
      </c>
      <c r="G25" s="99">
        <f>SUM(G8:G24)</f>
        <v>0</v>
      </c>
      <c r="H25" s="102">
        <f>(F25/E25)-1</f>
        <v>0</v>
      </c>
      <c r="I25" s="103">
        <f t="shared" ref="I25:O25" si="3">SUM(I8:I24)</f>
        <v>71807856</v>
      </c>
      <c r="J25" s="104">
        <f t="shared" si="3"/>
        <v>0</v>
      </c>
      <c r="K25" s="104">
        <f t="shared" si="3"/>
        <v>0</v>
      </c>
      <c r="L25" s="103">
        <f t="shared" si="3"/>
        <v>71807856</v>
      </c>
      <c r="M25" s="105">
        <f>SUM(M8:M24)-2</f>
        <v>18518138</v>
      </c>
      <c r="N25" s="106">
        <f>SUM(N8:N24)</f>
        <v>16815745</v>
      </c>
      <c r="O25" s="103">
        <f t="shared" si="3"/>
        <v>1702395</v>
      </c>
      <c r="P25" s="119">
        <f>+O25/M25</f>
        <v>9.1931219002688067E-2</v>
      </c>
      <c r="Q25" s="44"/>
    </row>
    <row r="26" spans="1:17" s="50" customFormat="1" ht="20.25" customHeight="1" x14ac:dyDescent="0.2">
      <c r="A26" s="46"/>
      <c r="B26" s="46"/>
      <c r="C26" s="46"/>
      <c r="D26" s="46"/>
      <c r="E26" s="111"/>
      <c r="F26" s="111"/>
      <c r="G26" s="46"/>
      <c r="H26" s="47"/>
      <c r="I26" s="48"/>
      <c r="J26" s="112"/>
      <c r="K26" s="112"/>
      <c r="L26" s="48"/>
      <c r="M26" s="90"/>
      <c r="N26" s="113"/>
      <c r="O26" s="48"/>
      <c r="P26" s="49"/>
      <c r="Q26" s="48"/>
    </row>
    <row r="27" spans="1:17" s="50" customFormat="1" ht="20.25" customHeight="1" x14ac:dyDescent="0.2">
      <c r="A27" s="46"/>
      <c r="B27" s="46"/>
      <c r="C27" s="46"/>
      <c r="D27" s="46"/>
      <c r="E27" s="111"/>
      <c r="F27" s="111"/>
      <c r="G27" s="46"/>
      <c r="H27" s="47"/>
      <c r="I27" s="48"/>
      <c r="J27" s="112"/>
      <c r="K27" s="112"/>
      <c r="L27" s="48"/>
      <c r="M27" s="90"/>
      <c r="N27" s="113"/>
      <c r="O27" s="48"/>
      <c r="P27" s="49"/>
      <c r="Q27" s="48"/>
    </row>
    <row r="28" spans="1:17" s="107" customFormat="1" ht="15" x14ac:dyDescent="0.25"/>
    <row r="29" spans="1:17" s="107" customFormat="1" ht="15" x14ac:dyDescent="0.25"/>
    <row r="30" spans="1:17" s="107" customFormat="1" ht="15" x14ac:dyDescent="0.25"/>
    <row r="31" spans="1:17" s="107" customFormat="1" ht="15" x14ac:dyDescent="0.25"/>
    <row r="32" spans="1:17" s="107" customFormat="1" ht="15" x14ac:dyDescent="0.25"/>
    <row r="33" spans="1:17" s="107" customFormat="1" ht="15" x14ac:dyDescent="0.25"/>
    <row r="34" spans="1:17" s="107" customFormat="1" ht="15" x14ac:dyDescent="0.25"/>
    <row r="35" spans="1:17" s="107" customFormat="1" ht="15" x14ac:dyDescent="0.25"/>
    <row r="36" spans="1:17" s="107" customFormat="1" ht="15" x14ac:dyDescent="0.25"/>
    <row r="37" spans="1:17" s="107" customFormat="1" ht="27.75" customHeight="1" x14ac:dyDescent="0.25"/>
    <row r="38" spans="1:17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91"/>
      <c r="N38" s="78"/>
      <c r="O38" s="78"/>
      <c r="P38" s="78"/>
      <c r="Q38" s="78"/>
    </row>
    <row r="40" spans="1:17" x14ac:dyDescent="0.2">
      <c r="M40" s="51"/>
    </row>
    <row r="42" spans="1:17" x14ac:dyDescent="0.2">
      <c r="N42" s="76"/>
    </row>
  </sheetData>
  <mergeCells count="21">
    <mergeCell ref="A25:C25"/>
    <mergeCell ref="A1:P1"/>
    <mergeCell ref="A2:P2"/>
    <mergeCell ref="A3:P3"/>
    <mergeCell ref="A5:A7"/>
    <mergeCell ref="B5:B7"/>
    <mergeCell ref="C5:C7"/>
    <mergeCell ref="D5:H5"/>
    <mergeCell ref="I5:Q5"/>
    <mergeCell ref="D6:D7"/>
    <mergeCell ref="E6:E7"/>
    <mergeCell ref="F6:F7"/>
    <mergeCell ref="G6:H6"/>
    <mergeCell ref="O6:P6"/>
    <mergeCell ref="Q6:Q7"/>
    <mergeCell ref="I6:I7"/>
    <mergeCell ref="J6:J7"/>
    <mergeCell ref="M6:M7"/>
    <mergeCell ref="N6:N7"/>
    <mergeCell ref="K6:K7"/>
    <mergeCell ref="L6:L7"/>
  </mergeCells>
  <printOptions horizontalCentered="1"/>
  <pageMargins left="0" right="0" top="0.78740157480314965" bottom="0.23622047244094491" header="0.19685039370078741" footer="0.15748031496062992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zoomScale="90" zoomScaleNormal="90" workbookViewId="0">
      <pane xSplit="2" ySplit="7" topLeftCell="C11" activePane="bottomRight" state="frozen"/>
      <selection activeCell="O13" sqref="O13"/>
      <selection pane="topRight" activeCell="O13" sqref="O13"/>
      <selection pane="bottomLeft" activeCell="O13" sqref="O13"/>
      <selection pane="bottomRight" activeCell="G11" sqref="G11"/>
    </sheetView>
  </sheetViews>
  <sheetFormatPr baseColWidth="10" defaultRowHeight="12.75" x14ac:dyDescent="0.2"/>
  <cols>
    <col min="1" max="1" width="5.28515625" style="51" customWidth="1"/>
    <col min="2" max="2" width="25.42578125" style="51" customWidth="1"/>
    <col min="3" max="3" width="14" style="51" customWidth="1"/>
    <col min="4" max="4" width="9.28515625" style="51" customWidth="1"/>
    <col min="5" max="5" width="13.5703125" style="51" customWidth="1"/>
    <col min="6" max="6" width="12.140625" style="51" customWidth="1"/>
    <col min="7" max="7" width="10.7109375" style="51" customWidth="1"/>
    <col min="8" max="8" width="10.42578125" style="51" customWidth="1"/>
    <col min="9" max="9" width="10.5703125" style="51" customWidth="1"/>
    <col min="10" max="10" width="12.5703125" style="51" customWidth="1"/>
    <col min="11" max="11" width="12" style="51" customWidth="1"/>
    <col min="12" max="12" width="12.28515625" style="51" customWidth="1"/>
    <col min="13" max="13" width="14.140625" style="51" hidden="1" customWidth="1"/>
    <col min="14" max="14" width="14.140625" style="51" customWidth="1"/>
    <col min="15" max="15" width="11.28515625" style="51" customWidth="1"/>
    <col min="16" max="16" width="10.140625" style="51" hidden="1" customWidth="1"/>
    <col min="17" max="17" width="9.7109375" style="51" hidden="1" customWidth="1"/>
    <col min="18" max="18" width="8.85546875" style="24" bestFit="1" customWidth="1"/>
    <col min="19" max="256" width="11.42578125" style="24"/>
    <col min="257" max="257" width="5.28515625" style="24" customWidth="1"/>
    <col min="258" max="258" width="25.42578125" style="24" customWidth="1"/>
    <col min="259" max="259" width="14" style="24" customWidth="1"/>
    <col min="260" max="260" width="9.28515625" style="24" customWidth="1"/>
    <col min="261" max="261" width="13.5703125" style="24" customWidth="1"/>
    <col min="262" max="262" width="12.140625" style="24" customWidth="1"/>
    <col min="263" max="263" width="10.7109375" style="24" customWidth="1"/>
    <col min="264" max="264" width="10.42578125" style="24" customWidth="1"/>
    <col min="265" max="265" width="10.5703125" style="24" customWidth="1"/>
    <col min="266" max="266" width="12.5703125" style="24" customWidth="1"/>
    <col min="267" max="267" width="12" style="24" customWidth="1"/>
    <col min="268" max="268" width="12.28515625" style="24" customWidth="1"/>
    <col min="269" max="269" width="0" style="24" hidden="1" customWidth="1"/>
    <col min="270" max="270" width="14.140625" style="24" customWidth="1"/>
    <col min="271" max="271" width="11.28515625" style="24" customWidth="1"/>
    <col min="272" max="273" width="0" style="24" hidden="1" customWidth="1"/>
    <col min="274" max="274" width="8.85546875" style="24" bestFit="1" customWidth="1"/>
    <col min="275" max="512" width="11.42578125" style="24"/>
    <col min="513" max="513" width="5.28515625" style="24" customWidth="1"/>
    <col min="514" max="514" width="25.42578125" style="24" customWidth="1"/>
    <col min="515" max="515" width="14" style="24" customWidth="1"/>
    <col min="516" max="516" width="9.28515625" style="24" customWidth="1"/>
    <col min="517" max="517" width="13.5703125" style="24" customWidth="1"/>
    <col min="518" max="518" width="12.140625" style="24" customWidth="1"/>
    <col min="519" max="519" width="10.7109375" style="24" customWidth="1"/>
    <col min="520" max="520" width="10.42578125" style="24" customWidth="1"/>
    <col min="521" max="521" width="10.5703125" style="24" customWidth="1"/>
    <col min="522" max="522" width="12.5703125" style="24" customWidth="1"/>
    <col min="523" max="523" width="12" style="24" customWidth="1"/>
    <col min="524" max="524" width="12.28515625" style="24" customWidth="1"/>
    <col min="525" max="525" width="0" style="24" hidden="1" customWidth="1"/>
    <col min="526" max="526" width="14.140625" style="24" customWidth="1"/>
    <col min="527" max="527" width="11.28515625" style="24" customWidth="1"/>
    <col min="528" max="529" width="0" style="24" hidden="1" customWidth="1"/>
    <col min="530" max="530" width="8.85546875" style="24" bestFit="1" customWidth="1"/>
    <col min="531" max="768" width="11.42578125" style="24"/>
    <col min="769" max="769" width="5.28515625" style="24" customWidth="1"/>
    <col min="770" max="770" width="25.42578125" style="24" customWidth="1"/>
    <col min="771" max="771" width="14" style="24" customWidth="1"/>
    <col min="772" max="772" width="9.28515625" style="24" customWidth="1"/>
    <col min="773" max="773" width="13.5703125" style="24" customWidth="1"/>
    <col min="774" max="774" width="12.140625" style="24" customWidth="1"/>
    <col min="775" max="775" width="10.7109375" style="24" customWidth="1"/>
    <col min="776" max="776" width="10.42578125" style="24" customWidth="1"/>
    <col min="777" max="777" width="10.5703125" style="24" customWidth="1"/>
    <col min="778" max="778" width="12.5703125" style="24" customWidth="1"/>
    <col min="779" max="779" width="12" style="24" customWidth="1"/>
    <col min="780" max="780" width="12.28515625" style="24" customWidth="1"/>
    <col min="781" max="781" width="0" style="24" hidden="1" customWidth="1"/>
    <col min="782" max="782" width="14.140625" style="24" customWidth="1"/>
    <col min="783" max="783" width="11.28515625" style="24" customWidth="1"/>
    <col min="784" max="785" width="0" style="24" hidden="1" customWidth="1"/>
    <col min="786" max="786" width="8.85546875" style="24" bestFit="1" customWidth="1"/>
    <col min="787" max="1024" width="11.42578125" style="24"/>
    <col min="1025" max="1025" width="5.28515625" style="24" customWidth="1"/>
    <col min="1026" max="1026" width="25.42578125" style="24" customWidth="1"/>
    <col min="1027" max="1027" width="14" style="24" customWidth="1"/>
    <col min="1028" max="1028" width="9.28515625" style="24" customWidth="1"/>
    <col min="1029" max="1029" width="13.5703125" style="24" customWidth="1"/>
    <col min="1030" max="1030" width="12.140625" style="24" customWidth="1"/>
    <col min="1031" max="1031" width="10.7109375" style="24" customWidth="1"/>
    <col min="1032" max="1032" width="10.42578125" style="24" customWidth="1"/>
    <col min="1033" max="1033" width="10.5703125" style="24" customWidth="1"/>
    <col min="1034" max="1034" width="12.5703125" style="24" customWidth="1"/>
    <col min="1035" max="1035" width="12" style="24" customWidth="1"/>
    <col min="1036" max="1036" width="12.28515625" style="24" customWidth="1"/>
    <col min="1037" max="1037" width="0" style="24" hidden="1" customWidth="1"/>
    <col min="1038" max="1038" width="14.140625" style="24" customWidth="1"/>
    <col min="1039" max="1039" width="11.28515625" style="24" customWidth="1"/>
    <col min="1040" max="1041" width="0" style="24" hidden="1" customWidth="1"/>
    <col min="1042" max="1042" width="8.85546875" style="24" bestFit="1" customWidth="1"/>
    <col min="1043" max="1280" width="11.42578125" style="24"/>
    <col min="1281" max="1281" width="5.28515625" style="24" customWidth="1"/>
    <col min="1282" max="1282" width="25.42578125" style="24" customWidth="1"/>
    <col min="1283" max="1283" width="14" style="24" customWidth="1"/>
    <col min="1284" max="1284" width="9.28515625" style="24" customWidth="1"/>
    <col min="1285" max="1285" width="13.5703125" style="24" customWidth="1"/>
    <col min="1286" max="1286" width="12.140625" style="24" customWidth="1"/>
    <col min="1287" max="1287" width="10.7109375" style="24" customWidth="1"/>
    <col min="1288" max="1288" width="10.42578125" style="24" customWidth="1"/>
    <col min="1289" max="1289" width="10.5703125" style="24" customWidth="1"/>
    <col min="1290" max="1290" width="12.5703125" style="24" customWidth="1"/>
    <col min="1291" max="1291" width="12" style="24" customWidth="1"/>
    <col min="1292" max="1292" width="12.28515625" style="24" customWidth="1"/>
    <col min="1293" max="1293" width="0" style="24" hidden="1" customWidth="1"/>
    <col min="1294" max="1294" width="14.140625" style="24" customWidth="1"/>
    <col min="1295" max="1295" width="11.28515625" style="24" customWidth="1"/>
    <col min="1296" max="1297" width="0" style="24" hidden="1" customWidth="1"/>
    <col min="1298" max="1298" width="8.85546875" style="24" bestFit="1" customWidth="1"/>
    <col min="1299" max="1536" width="11.42578125" style="24"/>
    <col min="1537" max="1537" width="5.28515625" style="24" customWidth="1"/>
    <col min="1538" max="1538" width="25.42578125" style="24" customWidth="1"/>
    <col min="1539" max="1539" width="14" style="24" customWidth="1"/>
    <col min="1540" max="1540" width="9.28515625" style="24" customWidth="1"/>
    <col min="1541" max="1541" width="13.5703125" style="24" customWidth="1"/>
    <col min="1542" max="1542" width="12.140625" style="24" customWidth="1"/>
    <col min="1543" max="1543" width="10.7109375" style="24" customWidth="1"/>
    <col min="1544" max="1544" width="10.42578125" style="24" customWidth="1"/>
    <col min="1545" max="1545" width="10.5703125" style="24" customWidth="1"/>
    <col min="1546" max="1546" width="12.5703125" style="24" customWidth="1"/>
    <col min="1547" max="1547" width="12" style="24" customWidth="1"/>
    <col min="1548" max="1548" width="12.28515625" style="24" customWidth="1"/>
    <col min="1549" max="1549" width="0" style="24" hidden="1" customWidth="1"/>
    <col min="1550" max="1550" width="14.140625" style="24" customWidth="1"/>
    <col min="1551" max="1551" width="11.28515625" style="24" customWidth="1"/>
    <col min="1552" max="1553" width="0" style="24" hidden="1" customWidth="1"/>
    <col min="1554" max="1554" width="8.85546875" style="24" bestFit="1" customWidth="1"/>
    <col min="1555" max="1792" width="11.42578125" style="24"/>
    <col min="1793" max="1793" width="5.28515625" style="24" customWidth="1"/>
    <col min="1794" max="1794" width="25.42578125" style="24" customWidth="1"/>
    <col min="1795" max="1795" width="14" style="24" customWidth="1"/>
    <col min="1796" max="1796" width="9.28515625" style="24" customWidth="1"/>
    <col min="1797" max="1797" width="13.5703125" style="24" customWidth="1"/>
    <col min="1798" max="1798" width="12.140625" style="24" customWidth="1"/>
    <col min="1799" max="1799" width="10.7109375" style="24" customWidth="1"/>
    <col min="1800" max="1800" width="10.42578125" style="24" customWidth="1"/>
    <col min="1801" max="1801" width="10.5703125" style="24" customWidth="1"/>
    <col min="1802" max="1802" width="12.5703125" style="24" customWidth="1"/>
    <col min="1803" max="1803" width="12" style="24" customWidth="1"/>
    <col min="1804" max="1804" width="12.28515625" style="24" customWidth="1"/>
    <col min="1805" max="1805" width="0" style="24" hidden="1" customWidth="1"/>
    <col min="1806" max="1806" width="14.140625" style="24" customWidth="1"/>
    <col min="1807" max="1807" width="11.28515625" style="24" customWidth="1"/>
    <col min="1808" max="1809" width="0" style="24" hidden="1" customWidth="1"/>
    <col min="1810" max="1810" width="8.85546875" style="24" bestFit="1" customWidth="1"/>
    <col min="1811" max="2048" width="11.42578125" style="24"/>
    <col min="2049" max="2049" width="5.28515625" style="24" customWidth="1"/>
    <col min="2050" max="2050" width="25.42578125" style="24" customWidth="1"/>
    <col min="2051" max="2051" width="14" style="24" customWidth="1"/>
    <col min="2052" max="2052" width="9.28515625" style="24" customWidth="1"/>
    <col min="2053" max="2053" width="13.5703125" style="24" customWidth="1"/>
    <col min="2054" max="2054" width="12.140625" style="24" customWidth="1"/>
    <col min="2055" max="2055" width="10.7109375" style="24" customWidth="1"/>
    <col min="2056" max="2056" width="10.42578125" style="24" customWidth="1"/>
    <col min="2057" max="2057" width="10.5703125" style="24" customWidth="1"/>
    <col min="2058" max="2058" width="12.5703125" style="24" customWidth="1"/>
    <col min="2059" max="2059" width="12" style="24" customWidth="1"/>
    <col min="2060" max="2060" width="12.28515625" style="24" customWidth="1"/>
    <col min="2061" max="2061" width="0" style="24" hidden="1" customWidth="1"/>
    <col min="2062" max="2062" width="14.140625" style="24" customWidth="1"/>
    <col min="2063" max="2063" width="11.28515625" style="24" customWidth="1"/>
    <col min="2064" max="2065" width="0" style="24" hidden="1" customWidth="1"/>
    <col min="2066" max="2066" width="8.85546875" style="24" bestFit="1" customWidth="1"/>
    <col min="2067" max="2304" width="11.42578125" style="24"/>
    <col min="2305" max="2305" width="5.28515625" style="24" customWidth="1"/>
    <col min="2306" max="2306" width="25.42578125" style="24" customWidth="1"/>
    <col min="2307" max="2307" width="14" style="24" customWidth="1"/>
    <col min="2308" max="2308" width="9.28515625" style="24" customWidth="1"/>
    <col min="2309" max="2309" width="13.5703125" style="24" customWidth="1"/>
    <col min="2310" max="2310" width="12.140625" style="24" customWidth="1"/>
    <col min="2311" max="2311" width="10.7109375" style="24" customWidth="1"/>
    <col min="2312" max="2312" width="10.42578125" style="24" customWidth="1"/>
    <col min="2313" max="2313" width="10.5703125" style="24" customWidth="1"/>
    <col min="2314" max="2314" width="12.5703125" style="24" customWidth="1"/>
    <col min="2315" max="2315" width="12" style="24" customWidth="1"/>
    <col min="2316" max="2316" width="12.28515625" style="24" customWidth="1"/>
    <col min="2317" max="2317" width="0" style="24" hidden="1" customWidth="1"/>
    <col min="2318" max="2318" width="14.140625" style="24" customWidth="1"/>
    <col min="2319" max="2319" width="11.28515625" style="24" customWidth="1"/>
    <col min="2320" max="2321" width="0" style="24" hidden="1" customWidth="1"/>
    <col min="2322" max="2322" width="8.85546875" style="24" bestFit="1" customWidth="1"/>
    <col min="2323" max="2560" width="11.42578125" style="24"/>
    <col min="2561" max="2561" width="5.28515625" style="24" customWidth="1"/>
    <col min="2562" max="2562" width="25.42578125" style="24" customWidth="1"/>
    <col min="2563" max="2563" width="14" style="24" customWidth="1"/>
    <col min="2564" max="2564" width="9.28515625" style="24" customWidth="1"/>
    <col min="2565" max="2565" width="13.5703125" style="24" customWidth="1"/>
    <col min="2566" max="2566" width="12.140625" style="24" customWidth="1"/>
    <col min="2567" max="2567" width="10.7109375" style="24" customWidth="1"/>
    <col min="2568" max="2568" width="10.42578125" style="24" customWidth="1"/>
    <col min="2569" max="2569" width="10.5703125" style="24" customWidth="1"/>
    <col min="2570" max="2570" width="12.5703125" style="24" customWidth="1"/>
    <col min="2571" max="2571" width="12" style="24" customWidth="1"/>
    <col min="2572" max="2572" width="12.28515625" style="24" customWidth="1"/>
    <col min="2573" max="2573" width="0" style="24" hidden="1" customWidth="1"/>
    <col min="2574" max="2574" width="14.140625" style="24" customWidth="1"/>
    <col min="2575" max="2575" width="11.28515625" style="24" customWidth="1"/>
    <col min="2576" max="2577" width="0" style="24" hidden="1" customWidth="1"/>
    <col min="2578" max="2578" width="8.85546875" style="24" bestFit="1" customWidth="1"/>
    <col min="2579" max="2816" width="11.42578125" style="24"/>
    <col min="2817" max="2817" width="5.28515625" style="24" customWidth="1"/>
    <col min="2818" max="2818" width="25.42578125" style="24" customWidth="1"/>
    <col min="2819" max="2819" width="14" style="24" customWidth="1"/>
    <col min="2820" max="2820" width="9.28515625" style="24" customWidth="1"/>
    <col min="2821" max="2821" width="13.5703125" style="24" customWidth="1"/>
    <col min="2822" max="2822" width="12.140625" style="24" customWidth="1"/>
    <col min="2823" max="2823" width="10.7109375" style="24" customWidth="1"/>
    <col min="2824" max="2824" width="10.42578125" style="24" customWidth="1"/>
    <col min="2825" max="2825" width="10.5703125" style="24" customWidth="1"/>
    <col min="2826" max="2826" width="12.5703125" style="24" customWidth="1"/>
    <col min="2827" max="2827" width="12" style="24" customWidth="1"/>
    <col min="2828" max="2828" width="12.28515625" style="24" customWidth="1"/>
    <col min="2829" max="2829" width="0" style="24" hidden="1" customWidth="1"/>
    <col min="2830" max="2830" width="14.140625" style="24" customWidth="1"/>
    <col min="2831" max="2831" width="11.28515625" style="24" customWidth="1"/>
    <col min="2832" max="2833" width="0" style="24" hidden="1" customWidth="1"/>
    <col min="2834" max="2834" width="8.85546875" style="24" bestFit="1" customWidth="1"/>
    <col min="2835" max="3072" width="11.42578125" style="24"/>
    <col min="3073" max="3073" width="5.28515625" style="24" customWidth="1"/>
    <col min="3074" max="3074" width="25.42578125" style="24" customWidth="1"/>
    <col min="3075" max="3075" width="14" style="24" customWidth="1"/>
    <col min="3076" max="3076" width="9.28515625" style="24" customWidth="1"/>
    <col min="3077" max="3077" width="13.5703125" style="24" customWidth="1"/>
    <col min="3078" max="3078" width="12.140625" style="24" customWidth="1"/>
    <col min="3079" max="3079" width="10.7109375" style="24" customWidth="1"/>
    <col min="3080" max="3080" width="10.42578125" style="24" customWidth="1"/>
    <col min="3081" max="3081" width="10.5703125" style="24" customWidth="1"/>
    <col min="3082" max="3082" width="12.5703125" style="24" customWidth="1"/>
    <col min="3083" max="3083" width="12" style="24" customWidth="1"/>
    <col min="3084" max="3084" width="12.28515625" style="24" customWidth="1"/>
    <col min="3085" max="3085" width="0" style="24" hidden="1" customWidth="1"/>
    <col min="3086" max="3086" width="14.140625" style="24" customWidth="1"/>
    <col min="3087" max="3087" width="11.28515625" style="24" customWidth="1"/>
    <col min="3088" max="3089" width="0" style="24" hidden="1" customWidth="1"/>
    <col min="3090" max="3090" width="8.85546875" style="24" bestFit="1" customWidth="1"/>
    <col min="3091" max="3328" width="11.42578125" style="24"/>
    <col min="3329" max="3329" width="5.28515625" style="24" customWidth="1"/>
    <col min="3330" max="3330" width="25.42578125" style="24" customWidth="1"/>
    <col min="3331" max="3331" width="14" style="24" customWidth="1"/>
    <col min="3332" max="3332" width="9.28515625" style="24" customWidth="1"/>
    <col min="3333" max="3333" width="13.5703125" style="24" customWidth="1"/>
    <col min="3334" max="3334" width="12.140625" style="24" customWidth="1"/>
    <col min="3335" max="3335" width="10.7109375" style="24" customWidth="1"/>
    <col min="3336" max="3336" width="10.42578125" style="24" customWidth="1"/>
    <col min="3337" max="3337" width="10.5703125" style="24" customWidth="1"/>
    <col min="3338" max="3338" width="12.5703125" style="24" customWidth="1"/>
    <col min="3339" max="3339" width="12" style="24" customWidth="1"/>
    <col min="3340" max="3340" width="12.28515625" style="24" customWidth="1"/>
    <col min="3341" max="3341" width="0" style="24" hidden="1" customWidth="1"/>
    <col min="3342" max="3342" width="14.140625" style="24" customWidth="1"/>
    <col min="3343" max="3343" width="11.28515625" style="24" customWidth="1"/>
    <col min="3344" max="3345" width="0" style="24" hidden="1" customWidth="1"/>
    <col min="3346" max="3346" width="8.85546875" style="24" bestFit="1" customWidth="1"/>
    <col min="3347" max="3584" width="11.42578125" style="24"/>
    <col min="3585" max="3585" width="5.28515625" style="24" customWidth="1"/>
    <col min="3586" max="3586" width="25.42578125" style="24" customWidth="1"/>
    <col min="3587" max="3587" width="14" style="24" customWidth="1"/>
    <col min="3588" max="3588" width="9.28515625" style="24" customWidth="1"/>
    <col min="3589" max="3589" width="13.5703125" style="24" customWidth="1"/>
    <col min="3590" max="3590" width="12.140625" style="24" customWidth="1"/>
    <col min="3591" max="3591" width="10.7109375" style="24" customWidth="1"/>
    <col min="3592" max="3592" width="10.42578125" style="24" customWidth="1"/>
    <col min="3593" max="3593" width="10.5703125" style="24" customWidth="1"/>
    <col min="3594" max="3594" width="12.5703125" style="24" customWidth="1"/>
    <col min="3595" max="3595" width="12" style="24" customWidth="1"/>
    <col min="3596" max="3596" width="12.28515625" style="24" customWidth="1"/>
    <col min="3597" max="3597" width="0" style="24" hidden="1" customWidth="1"/>
    <col min="3598" max="3598" width="14.140625" style="24" customWidth="1"/>
    <col min="3599" max="3599" width="11.28515625" style="24" customWidth="1"/>
    <col min="3600" max="3601" width="0" style="24" hidden="1" customWidth="1"/>
    <col min="3602" max="3602" width="8.85546875" style="24" bestFit="1" customWidth="1"/>
    <col min="3603" max="3840" width="11.42578125" style="24"/>
    <col min="3841" max="3841" width="5.28515625" style="24" customWidth="1"/>
    <col min="3842" max="3842" width="25.42578125" style="24" customWidth="1"/>
    <col min="3843" max="3843" width="14" style="24" customWidth="1"/>
    <col min="3844" max="3844" width="9.28515625" style="24" customWidth="1"/>
    <col min="3845" max="3845" width="13.5703125" style="24" customWidth="1"/>
    <col min="3846" max="3846" width="12.140625" style="24" customWidth="1"/>
    <col min="3847" max="3847" width="10.7109375" style="24" customWidth="1"/>
    <col min="3848" max="3848" width="10.42578125" style="24" customWidth="1"/>
    <col min="3849" max="3849" width="10.5703125" style="24" customWidth="1"/>
    <col min="3850" max="3850" width="12.5703125" style="24" customWidth="1"/>
    <col min="3851" max="3851" width="12" style="24" customWidth="1"/>
    <col min="3852" max="3852" width="12.28515625" style="24" customWidth="1"/>
    <col min="3853" max="3853" width="0" style="24" hidden="1" customWidth="1"/>
    <col min="3854" max="3854" width="14.140625" style="24" customWidth="1"/>
    <col min="3855" max="3855" width="11.28515625" style="24" customWidth="1"/>
    <col min="3856" max="3857" width="0" style="24" hidden="1" customWidth="1"/>
    <col min="3858" max="3858" width="8.85546875" style="24" bestFit="1" customWidth="1"/>
    <col min="3859" max="4096" width="11.42578125" style="24"/>
    <col min="4097" max="4097" width="5.28515625" style="24" customWidth="1"/>
    <col min="4098" max="4098" width="25.42578125" style="24" customWidth="1"/>
    <col min="4099" max="4099" width="14" style="24" customWidth="1"/>
    <col min="4100" max="4100" width="9.28515625" style="24" customWidth="1"/>
    <col min="4101" max="4101" width="13.5703125" style="24" customWidth="1"/>
    <col min="4102" max="4102" width="12.140625" style="24" customWidth="1"/>
    <col min="4103" max="4103" width="10.7109375" style="24" customWidth="1"/>
    <col min="4104" max="4104" width="10.42578125" style="24" customWidth="1"/>
    <col min="4105" max="4105" width="10.5703125" style="24" customWidth="1"/>
    <col min="4106" max="4106" width="12.5703125" style="24" customWidth="1"/>
    <col min="4107" max="4107" width="12" style="24" customWidth="1"/>
    <col min="4108" max="4108" width="12.28515625" style="24" customWidth="1"/>
    <col min="4109" max="4109" width="0" style="24" hidden="1" customWidth="1"/>
    <col min="4110" max="4110" width="14.140625" style="24" customWidth="1"/>
    <col min="4111" max="4111" width="11.28515625" style="24" customWidth="1"/>
    <col min="4112" max="4113" width="0" style="24" hidden="1" customWidth="1"/>
    <col min="4114" max="4114" width="8.85546875" style="24" bestFit="1" customWidth="1"/>
    <col min="4115" max="4352" width="11.42578125" style="24"/>
    <col min="4353" max="4353" width="5.28515625" style="24" customWidth="1"/>
    <col min="4354" max="4354" width="25.42578125" style="24" customWidth="1"/>
    <col min="4355" max="4355" width="14" style="24" customWidth="1"/>
    <col min="4356" max="4356" width="9.28515625" style="24" customWidth="1"/>
    <col min="4357" max="4357" width="13.5703125" style="24" customWidth="1"/>
    <col min="4358" max="4358" width="12.140625" style="24" customWidth="1"/>
    <col min="4359" max="4359" width="10.7109375" style="24" customWidth="1"/>
    <col min="4360" max="4360" width="10.42578125" style="24" customWidth="1"/>
    <col min="4361" max="4361" width="10.5703125" style="24" customWidth="1"/>
    <col min="4362" max="4362" width="12.5703125" style="24" customWidth="1"/>
    <col min="4363" max="4363" width="12" style="24" customWidth="1"/>
    <col min="4364" max="4364" width="12.28515625" style="24" customWidth="1"/>
    <col min="4365" max="4365" width="0" style="24" hidden="1" customWidth="1"/>
    <col min="4366" max="4366" width="14.140625" style="24" customWidth="1"/>
    <col min="4367" max="4367" width="11.28515625" style="24" customWidth="1"/>
    <col min="4368" max="4369" width="0" style="24" hidden="1" customWidth="1"/>
    <col min="4370" max="4370" width="8.85546875" style="24" bestFit="1" customWidth="1"/>
    <col min="4371" max="4608" width="11.42578125" style="24"/>
    <col min="4609" max="4609" width="5.28515625" style="24" customWidth="1"/>
    <col min="4610" max="4610" width="25.42578125" style="24" customWidth="1"/>
    <col min="4611" max="4611" width="14" style="24" customWidth="1"/>
    <col min="4612" max="4612" width="9.28515625" style="24" customWidth="1"/>
    <col min="4613" max="4613" width="13.5703125" style="24" customWidth="1"/>
    <col min="4614" max="4614" width="12.140625" style="24" customWidth="1"/>
    <col min="4615" max="4615" width="10.7109375" style="24" customWidth="1"/>
    <col min="4616" max="4616" width="10.42578125" style="24" customWidth="1"/>
    <col min="4617" max="4617" width="10.5703125" style="24" customWidth="1"/>
    <col min="4618" max="4618" width="12.5703125" style="24" customWidth="1"/>
    <col min="4619" max="4619" width="12" style="24" customWidth="1"/>
    <col min="4620" max="4620" width="12.28515625" style="24" customWidth="1"/>
    <col min="4621" max="4621" width="0" style="24" hidden="1" customWidth="1"/>
    <col min="4622" max="4622" width="14.140625" style="24" customWidth="1"/>
    <col min="4623" max="4623" width="11.28515625" style="24" customWidth="1"/>
    <col min="4624" max="4625" width="0" style="24" hidden="1" customWidth="1"/>
    <col min="4626" max="4626" width="8.85546875" style="24" bestFit="1" customWidth="1"/>
    <col min="4627" max="4864" width="11.42578125" style="24"/>
    <col min="4865" max="4865" width="5.28515625" style="24" customWidth="1"/>
    <col min="4866" max="4866" width="25.42578125" style="24" customWidth="1"/>
    <col min="4867" max="4867" width="14" style="24" customWidth="1"/>
    <col min="4868" max="4868" width="9.28515625" style="24" customWidth="1"/>
    <col min="4869" max="4869" width="13.5703125" style="24" customWidth="1"/>
    <col min="4870" max="4870" width="12.140625" style="24" customWidth="1"/>
    <col min="4871" max="4871" width="10.7109375" style="24" customWidth="1"/>
    <col min="4872" max="4872" width="10.42578125" style="24" customWidth="1"/>
    <col min="4873" max="4873" width="10.5703125" style="24" customWidth="1"/>
    <col min="4874" max="4874" width="12.5703125" style="24" customWidth="1"/>
    <col min="4875" max="4875" width="12" style="24" customWidth="1"/>
    <col min="4876" max="4876" width="12.28515625" style="24" customWidth="1"/>
    <col min="4877" max="4877" width="0" style="24" hidden="1" customWidth="1"/>
    <col min="4878" max="4878" width="14.140625" style="24" customWidth="1"/>
    <col min="4879" max="4879" width="11.28515625" style="24" customWidth="1"/>
    <col min="4880" max="4881" width="0" style="24" hidden="1" customWidth="1"/>
    <col min="4882" max="4882" width="8.85546875" style="24" bestFit="1" customWidth="1"/>
    <col min="4883" max="5120" width="11.42578125" style="24"/>
    <col min="5121" max="5121" width="5.28515625" style="24" customWidth="1"/>
    <col min="5122" max="5122" width="25.42578125" style="24" customWidth="1"/>
    <col min="5123" max="5123" width="14" style="24" customWidth="1"/>
    <col min="5124" max="5124" width="9.28515625" style="24" customWidth="1"/>
    <col min="5125" max="5125" width="13.5703125" style="24" customWidth="1"/>
    <col min="5126" max="5126" width="12.140625" style="24" customWidth="1"/>
    <col min="5127" max="5127" width="10.7109375" style="24" customWidth="1"/>
    <col min="5128" max="5128" width="10.42578125" style="24" customWidth="1"/>
    <col min="5129" max="5129" width="10.5703125" style="24" customWidth="1"/>
    <col min="5130" max="5130" width="12.5703125" style="24" customWidth="1"/>
    <col min="5131" max="5131" width="12" style="24" customWidth="1"/>
    <col min="5132" max="5132" width="12.28515625" style="24" customWidth="1"/>
    <col min="5133" max="5133" width="0" style="24" hidden="1" customWidth="1"/>
    <col min="5134" max="5134" width="14.140625" style="24" customWidth="1"/>
    <col min="5135" max="5135" width="11.28515625" style="24" customWidth="1"/>
    <col min="5136" max="5137" width="0" style="24" hidden="1" customWidth="1"/>
    <col min="5138" max="5138" width="8.85546875" style="24" bestFit="1" customWidth="1"/>
    <col min="5139" max="5376" width="11.42578125" style="24"/>
    <col min="5377" max="5377" width="5.28515625" style="24" customWidth="1"/>
    <col min="5378" max="5378" width="25.42578125" style="24" customWidth="1"/>
    <col min="5379" max="5379" width="14" style="24" customWidth="1"/>
    <col min="5380" max="5380" width="9.28515625" style="24" customWidth="1"/>
    <col min="5381" max="5381" width="13.5703125" style="24" customWidth="1"/>
    <col min="5382" max="5382" width="12.140625" style="24" customWidth="1"/>
    <col min="5383" max="5383" width="10.7109375" style="24" customWidth="1"/>
    <col min="5384" max="5384" width="10.42578125" style="24" customWidth="1"/>
    <col min="5385" max="5385" width="10.5703125" style="24" customWidth="1"/>
    <col min="5386" max="5386" width="12.5703125" style="24" customWidth="1"/>
    <col min="5387" max="5387" width="12" style="24" customWidth="1"/>
    <col min="5388" max="5388" width="12.28515625" style="24" customWidth="1"/>
    <col min="5389" max="5389" width="0" style="24" hidden="1" customWidth="1"/>
    <col min="5390" max="5390" width="14.140625" style="24" customWidth="1"/>
    <col min="5391" max="5391" width="11.28515625" style="24" customWidth="1"/>
    <col min="5392" max="5393" width="0" style="24" hidden="1" customWidth="1"/>
    <col min="5394" max="5394" width="8.85546875" style="24" bestFit="1" customWidth="1"/>
    <col min="5395" max="5632" width="11.42578125" style="24"/>
    <col min="5633" max="5633" width="5.28515625" style="24" customWidth="1"/>
    <col min="5634" max="5634" width="25.42578125" style="24" customWidth="1"/>
    <col min="5635" max="5635" width="14" style="24" customWidth="1"/>
    <col min="5636" max="5636" width="9.28515625" style="24" customWidth="1"/>
    <col min="5637" max="5637" width="13.5703125" style="24" customWidth="1"/>
    <col min="5638" max="5638" width="12.140625" style="24" customWidth="1"/>
    <col min="5639" max="5639" width="10.7109375" style="24" customWidth="1"/>
    <col min="5640" max="5640" width="10.42578125" style="24" customWidth="1"/>
    <col min="5641" max="5641" width="10.5703125" style="24" customWidth="1"/>
    <col min="5642" max="5642" width="12.5703125" style="24" customWidth="1"/>
    <col min="5643" max="5643" width="12" style="24" customWidth="1"/>
    <col min="5644" max="5644" width="12.28515625" style="24" customWidth="1"/>
    <col min="5645" max="5645" width="0" style="24" hidden="1" customWidth="1"/>
    <col min="5646" max="5646" width="14.140625" style="24" customWidth="1"/>
    <col min="5647" max="5647" width="11.28515625" style="24" customWidth="1"/>
    <col min="5648" max="5649" width="0" style="24" hidden="1" customWidth="1"/>
    <col min="5650" max="5650" width="8.85546875" style="24" bestFit="1" customWidth="1"/>
    <col min="5651" max="5888" width="11.42578125" style="24"/>
    <col min="5889" max="5889" width="5.28515625" style="24" customWidth="1"/>
    <col min="5890" max="5890" width="25.42578125" style="24" customWidth="1"/>
    <col min="5891" max="5891" width="14" style="24" customWidth="1"/>
    <col min="5892" max="5892" width="9.28515625" style="24" customWidth="1"/>
    <col min="5893" max="5893" width="13.5703125" style="24" customWidth="1"/>
    <col min="5894" max="5894" width="12.140625" style="24" customWidth="1"/>
    <col min="5895" max="5895" width="10.7109375" style="24" customWidth="1"/>
    <col min="5896" max="5896" width="10.42578125" style="24" customWidth="1"/>
    <col min="5897" max="5897" width="10.5703125" style="24" customWidth="1"/>
    <col min="5898" max="5898" width="12.5703125" style="24" customWidth="1"/>
    <col min="5899" max="5899" width="12" style="24" customWidth="1"/>
    <col min="5900" max="5900" width="12.28515625" style="24" customWidth="1"/>
    <col min="5901" max="5901" width="0" style="24" hidden="1" customWidth="1"/>
    <col min="5902" max="5902" width="14.140625" style="24" customWidth="1"/>
    <col min="5903" max="5903" width="11.28515625" style="24" customWidth="1"/>
    <col min="5904" max="5905" width="0" style="24" hidden="1" customWidth="1"/>
    <col min="5906" max="5906" width="8.85546875" style="24" bestFit="1" customWidth="1"/>
    <col min="5907" max="6144" width="11.42578125" style="24"/>
    <col min="6145" max="6145" width="5.28515625" style="24" customWidth="1"/>
    <col min="6146" max="6146" width="25.42578125" style="24" customWidth="1"/>
    <col min="6147" max="6147" width="14" style="24" customWidth="1"/>
    <col min="6148" max="6148" width="9.28515625" style="24" customWidth="1"/>
    <col min="6149" max="6149" width="13.5703125" style="24" customWidth="1"/>
    <col min="6150" max="6150" width="12.140625" style="24" customWidth="1"/>
    <col min="6151" max="6151" width="10.7109375" style="24" customWidth="1"/>
    <col min="6152" max="6152" width="10.42578125" style="24" customWidth="1"/>
    <col min="6153" max="6153" width="10.5703125" style="24" customWidth="1"/>
    <col min="6154" max="6154" width="12.5703125" style="24" customWidth="1"/>
    <col min="6155" max="6155" width="12" style="24" customWidth="1"/>
    <col min="6156" max="6156" width="12.28515625" style="24" customWidth="1"/>
    <col min="6157" max="6157" width="0" style="24" hidden="1" customWidth="1"/>
    <col min="6158" max="6158" width="14.140625" style="24" customWidth="1"/>
    <col min="6159" max="6159" width="11.28515625" style="24" customWidth="1"/>
    <col min="6160" max="6161" width="0" style="24" hidden="1" customWidth="1"/>
    <col min="6162" max="6162" width="8.85546875" style="24" bestFit="1" customWidth="1"/>
    <col min="6163" max="6400" width="11.42578125" style="24"/>
    <col min="6401" max="6401" width="5.28515625" style="24" customWidth="1"/>
    <col min="6402" max="6402" width="25.42578125" style="24" customWidth="1"/>
    <col min="6403" max="6403" width="14" style="24" customWidth="1"/>
    <col min="6404" max="6404" width="9.28515625" style="24" customWidth="1"/>
    <col min="6405" max="6405" width="13.5703125" style="24" customWidth="1"/>
    <col min="6406" max="6406" width="12.140625" style="24" customWidth="1"/>
    <col min="6407" max="6407" width="10.7109375" style="24" customWidth="1"/>
    <col min="6408" max="6408" width="10.42578125" style="24" customWidth="1"/>
    <col min="6409" max="6409" width="10.5703125" style="24" customWidth="1"/>
    <col min="6410" max="6410" width="12.5703125" style="24" customWidth="1"/>
    <col min="6411" max="6411" width="12" style="24" customWidth="1"/>
    <col min="6412" max="6412" width="12.28515625" style="24" customWidth="1"/>
    <col min="6413" max="6413" width="0" style="24" hidden="1" customWidth="1"/>
    <col min="6414" max="6414" width="14.140625" style="24" customWidth="1"/>
    <col min="6415" max="6415" width="11.28515625" style="24" customWidth="1"/>
    <col min="6416" max="6417" width="0" style="24" hidden="1" customWidth="1"/>
    <col min="6418" max="6418" width="8.85546875" style="24" bestFit="1" customWidth="1"/>
    <col min="6419" max="6656" width="11.42578125" style="24"/>
    <col min="6657" max="6657" width="5.28515625" style="24" customWidth="1"/>
    <col min="6658" max="6658" width="25.42578125" style="24" customWidth="1"/>
    <col min="6659" max="6659" width="14" style="24" customWidth="1"/>
    <col min="6660" max="6660" width="9.28515625" style="24" customWidth="1"/>
    <col min="6661" max="6661" width="13.5703125" style="24" customWidth="1"/>
    <col min="6662" max="6662" width="12.140625" style="24" customWidth="1"/>
    <col min="6663" max="6663" width="10.7109375" style="24" customWidth="1"/>
    <col min="6664" max="6664" width="10.42578125" style="24" customWidth="1"/>
    <col min="6665" max="6665" width="10.5703125" style="24" customWidth="1"/>
    <col min="6666" max="6666" width="12.5703125" style="24" customWidth="1"/>
    <col min="6667" max="6667" width="12" style="24" customWidth="1"/>
    <col min="6668" max="6668" width="12.28515625" style="24" customWidth="1"/>
    <col min="6669" max="6669" width="0" style="24" hidden="1" customWidth="1"/>
    <col min="6670" max="6670" width="14.140625" style="24" customWidth="1"/>
    <col min="6671" max="6671" width="11.28515625" style="24" customWidth="1"/>
    <col min="6672" max="6673" width="0" style="24" hidden="1" customWidth="1"/>
    <col min="6674" max="6674" width="8.85546875" style="24" bestFit="1" customWidth="1"/>
    <col min="6675" max="6912" width="11.42578125" style="24"/>
    <col min="6913" max="6913" width="5.28515625" style="24" customWidth="1"/>
    <col min="6914" max="6914" width="25.42578125" style="24" customWidth="1"/>
    <col min="6915" max="6915" width="14" style="24" customWidth="1"/>
    <col min="6916" max="6916" width="9.28515625" style="24" customWidth="1"/>
    <col min="6917" max="6917" width="13.5703125" style="24" customWidth="1"/>
    <col min="6918" max="6918" width="12.140625" style="24" customWidth="1"/>
    <col min="6919" max="6919" width="10.7109375" style="24" customWidth="1"/>
    <col min="6920" max="6920" width="10.42578125" style="24" customWidth="1"/>
    <col min="6921" max="6921" width="10.5703125" style="24" customWidth="1"/>
    <col min="6922" max="6922" width="12.5703125" style="24" customWidth="1"/>
    <col min="6923" max="6923" width="12" style="24" customWidth="1"/>
    <col min="6924" max="6924" width="12.28515625" style="24" customWidth="1"/>
    <col min="6925" max="6925" width="0" style="24" hidden="1" customWidth="1"/>
    <col min="6926" max="6926" width="14.140625" style="24" customWidth="1"/>
    <col min="6927" max="6927" width="11.28515625" style="24" customWidth="1"/>
    <col min="6928" max="6929" width="0" style="24" hidden="1" customWidth="1"/>
    <col min="6930" max="6930" width="8.85546875" style="24" bestFit="1" customWidth="1"/>
    <col min="6931" max="7168" width="11.42578125" style="24"/>
    <col min="7169" max="7169" width="5.28515625" style="24" customWidth="1"/>
    <col min="7170" max="7170" width="25.42578125" style="24" customWidth="1"/>
    <col min="7171" max="7171" width="14" style="24" customWidth="1"/>
    <col min="7172" max="7172" width="9.28515625" style="24" customWidth="1"/>
    <col min="7173" max="7173" width="13.5703125" style="24" customWidth="1"/>
    <col min="7174" max="7174" width="12.140625" style="24" customWidth="1"/>
    <col min="7175" max="7175" width="10.7109375" style="24" customWidth="1"/>
    <col min="7176" max="7176" width="10.42578125" style="24" customWidth="1"/>
    <col min="7177" max="7177" width="10.5703125" style="24" customWidth="1"/>
    <col min="7178" max="7178" width="12.5703125" style="24" customWidth="1"/>
    <col min="7179" max="7179" width="12" style="24" customWidth="1"/>
    <col min="7180" max="7180" width="12.28515625" style="24" customWidth="1"/>
    <col min="7181" max="7181" width="0" style="24" hidden="1" customWidth="1"/>
    <col min="7182" max="7182" width="14.140625" style="24" customWidth="1"/>
    <col min="7183" max="7183" width="11.28515625" style="24" customWidth="1"/>
    <col min="7184" max="7185" width="0" style="24" hidden="1" customWidth="1"/>
    <col min="7186" max="7186" width="8.85546875" style="24" bestFit="1" customWidth="1"/>
    <col min="7187" max="7424" width="11.42578125" style="24"/>
    <col min="7425" max="7425" width="5.28515625" style="24" customWidth="1"/>
    <col min="7426" max="7426" width="25.42578125" style="24" customWidth="1"/>
    <col min="7427" max="7427" width="14" style="24" customWidth="1"/>
    <col min="7428" max="7428" width="9.28515625" style="24" customWidth="1"/>
    <col min="7429" max="7429" width="13.5703125" style="24" customWidth="1"/>
    <col min="7430" max="7430" width="12.140625" style="24" customWidth="1"/>
    <col min="7431" max="7431" width="10.7109375" style="24" customWidth="1"/>
    <col min="7432" max="7432" width="10.42578125" style="24" customWidth="1"/>
    <col min="7433" max="7433" width="10.5703125" style="24" customWidth="1"/>
    <col min="7434" max="7434" width="12.5703125" style="24" customWidth="1"/>
    <col min="7435" max="7435" width="12" style="24" customWidth="1"/>
    <col min="7436" max="7436" width="12.28515625" style="24" customWidth="1"/>
    <col min="7437" max="7437" width="0" style="24" hidden="1" customWidth="1"/>
    <col min="7438" max="7438" width="14.140625" style="24" customWidth="1"/>
    <col min="7439" max="7439" width="11.28515625" style="24" customWidth="1"/>
    <col min="7440" max="7441" width="0" style="24" hidden="1" customWidth="1"/>
    <col min="7442" max="7442" width="8.85546875" style="24" bestFit="1" customWidth="1"/>
    <col min="7443" max="7680" width="11.42578125" style="24"/>
    <col min="7681" max="7681" width="5.28515625" style="24" customWidth="1"/>
    <col min="7682" max="7682" width="25.42578125" style="24" customWidth="1"/>
    <col min="7683" max="7683" width="14" style="24" customWidth="1"/>
    <col min="7684" max="7684" width="9.28515625" style="24" customWidth="1"/>
    <col min="7685" max="7685" width="13.5703125" style="24" customWidth="1"/>
    <col min="7686" max="7686" width="12.140625" style="24" customWidth="1"/>
    <col min="7687" max="7687" width="10.7109375" style="24" customWidth="1"/>
    <col min="7688" max="7688" width="10.42578125" style="24" customWidth="1"/>
    <col min="7689" max="7689" width="10.5703125" style="24" customWidth="1"/>
    <col min="7690" max="7690" width="12.5703125" style="24" customWidth="1"/>
    <col min="7691" max="7691" width="12" style="24" customWidth="1"/>
    <col min="7692" max="7692" width="12.28515625" style="24" customWidth="1"/>
    <col min="7693" max="7693" width="0" style="24" hidden="1" customWidth="1"/>
    <col min="7694" max="7694" width="14.140625" style="24" customWidth="1"/>
    <col min="7695" max="7695" width="11.28515625" style="24" customWidth="1"/>
    <col min="7696" max="7697" width="0" style="24" hidden="1" customWidth="1"/>
    <col min="7698" max="7698" width="8.85546875" style="24" bestFit="1" customWidth="1"/>
    <col min="7699" max="7936" width="11.42578125" style="24"/>
    <col min="7937" max="7937" width="5.28515625" style="24" customWidth="1"/>
    <col min="7938" max="7938" width="25.42578125" style="24" customWidth="1"/>
    <col min="7939" max="7939" width="14" style="24" customWidth="1"/>
    <col min="7940" max="7940" width="9.28515625" style="24" customWidth="1"/>
    <col min="7941" max="7941" width="13.5703125" style="24" customWidth="1"/>
    <col min="7942" max="7942" width="12.140625" style="24" customWidth="1"/>
    <col min="7943" max="7943" width="10.7109375" style="24" customWidth="1"/>
    <col min="7944" max="7944" width="10.42578125" style="24" customWidth="1"/>
    <col min="7945" max="7945" width="10.5703125" style="24" customWidth="1"/>
    <col min="7946" max="7946" width="12.5703125" style="24" customWidth="1"/>
    <col min="7947" max="7947" width="12" style="24" customWidth="1"/>
    <col min="7948" max="7948" width="12.28515625" style="24" customWidth="1"/>
    <col min="7949" max="7949" width="0" style="24" hidden="1" customWidth="1"/>
    <col min="7950" max="7950" width="14.140625" style="24" customWidth="1"/>
    <col min="7951" max="7951" width="11.28515625" style="24" customWidth="1"/>
    <col min="7952" max="7953" width="0" style="24" hidden="1" customWidth="1"/>
    <col min="7954" max="7954" width="8.85546875" style="24" bestFit="1" customWidth="1"/>
    <col min="7955" max="8192" width="11.42578125" style="24"/>
    <col min="8193" max="8193" width="5.28515625" style="24" customWidth="1"/>
    <col min="8194" max="8194" width="25.42578125" style="24" customWidth="1"/>
    <col min="8195" max="8195" width="14" style="24" customWidth="1"/>
    <col min="8196" max="8196" width="9.28515625" style="24" customWidth="1"/>
    <col min="8197" max="8197" width="13.5703125" style="24" customWidth="1"/>
    <col min="8198" max="8198" width="12.140625" style="24" customWidth="1"/>
    <col min="8199" max="8199" width="10.7109375" style="24" customWidth="1"/>
    <col min="8200" max="8200" width="10.42578125" style="24" customWidth="1"/>
    <col min="8201" max="8201" width="10.5703125" style="24" customWidth="1"/>
    <col min="8202" max="8202" width="12.5703125" style="24" customWidth="1"/>
    <col min="8203" max="8203" width="12" style="24" customWidth="1"/>
    <col min="8204" max="8204" width="12.28515625" style="24" customWidth="1"/>
    <col min="8205" max="8205" width="0" style="24" hidden="1" customWidth="1"/>
    <col min="8206" max="8206" width="14.140625" style="24" customWidth="1"/>
    <col min="8207" max="8207" width="11.28515625" style="24" customWidth="1"/>
    <col min="8208" max="8209" width="0" style="24" hidden="1" customWidth="1"/>
    <col min="8210" max="8210" width="8.85546875" style="24" bestFit="1" customWidth="1"/>
    <col min="8211" max="8448" width="11.42578125" style="24"/>
    <col min="8449" max="8449" width="5.28515625" style="24" customWidth="1"/>
    <col min="8450" max="8450" width="25.42578125" style="24" customWidth="1"/>
    <col min="8451" max="8451" width="14" style="24" customWidth="1"/>
    <col min="8452" max="8452" width="9.28515625" style="24" customWidth="1"/>
    <col min="8453" max="8453" width="13.5703125" style="24" customWidth="1"/>
    <col min="8454" max="8454" width="12.140625" style="24" customWidth="1"/>
    <col min="8455" max="8455" width="10.7109375" style="24" customWidth="1"/>
    <col min="8456" max="8456" width="10.42578125" style="24" customWidth="1"/>
    <col min="8457" max="8457" width="10.5703125" style="24" customWidth="1"/>
    <col min="8458" max="8458" width="12.5703125" style="24" customWidth="1"/>
    <col min="8459" max="8459" width="12" style="24" customWidth="1"/>
    <col min="8460" max="8460" width="12.28515625" style="24" customWidth="1"/>
    <col min="8461" max="8461" width="0" style="24" hidden="1" customWidth="1"/>
    <col min="8462" max="8462" width="14.140625" style="24" customWidth="1"/>
    <col min="8463" max="8463" width="11.28515625" style="24" customWidth="1"/>
    <col min="8464" max="8465" width="0" style="24" hidden="1" customWidth="1"/>
    <col min="8466" max="8466" width="8.85546875" style="24" bestFit="1" customWidth="1"/>
    <col min="8467" max="8704" width="11.42578125" style="24"/>
    <col min="8705" max="8705" width="5.28515625" style="24" customWidth="1"/>
    <col min="8706" max="8706" width="25.42578125" style="24" customWidth="1"/>
    <col min="8707" max="8707" width="14" style="24" customWidth="1"/>
    <col min="8708" max="8708" width="9.28515625" style="24" customWidth="1"/>
    <col min="8709" max="8709" width="13.5703125" style="24" customWidth="1"/>
    <col min="8710" max="8710" width="12.140625" style="24" customWidth="1"/>
    <col min="8711" max="8711" width="10.7109375" style="24" customWidth="1"/>
    <col min="8712" max="8712" width="10.42578125" style="24" customWidth="1"/>
    <col min="8713" max="8713" width="10.5703125" style="24" customWidth="1"/>
    <col min="8714" max="8714" width="12.5703125" style="24" customWidth="1"/>
    <col min="8715" max="8715" width="12" style="24" customWidth="1"/>
    <col min="8716" max="8716" width="12.28515625" style="24" customWidth="1"/>
    <col min="8717" max="8717" width="0" style="24" hidden="1" customWidth="1"/>
    <col min="8718" max="8718" width="14.140625" style="24" customWidth="1"/>
    <col min="8719" max="8719" width="11.28515625" style="24" customWidth="1"/>
    <col min="8720" max="8721" width="0" style="24" hidden="1" customWidth="1"/>
    <col min="8722" max="8722" width="8.85546875" style="24" bestFit="1" customWidth="1"/>
    <col min="8723" max="8960" width="11.42578125" style="24"/>
    <col min="8961" max="8961" width="5.28515625" style="24" customWidth="1"/>
    <col min="8962" max="8962" width="25.42578125" style="24" customWidth="1"/>
    <col min="8963" max="8963" width="14" style="24" customWidth="1"/>
    <col min="8964" max="8964" width="9.28515625" style="24" customWidth="1"/>
    <col min="8965" max="8965" width="13.5703125" style="24" customWidth="1"/>
    <col min="8966" max="8966" width="12.140625" style="24" customWidth="1"/>
    <col min="8967" max="8967" width="10.7109375" style="24" customWidth="1"/>
    <col min="8968" max="8968" width="10.42578125" style="24" customWidth="1"/>
    <col min="8969" max="8969" width="10.5703125" style="24" customWidth="1"/>
    <col min="8970" max="8970" width="12.5703125" style="24" customWidth="1"/>
    <col min="8971" max="8971" width="12" style="24" customWidth="1"/>
    <col min="8972" max="8972" width="12.28515625" style="24" customWidth="1"/>
    <col min="8973" max="8973" width="0" style="24" hidden="1" customWidth="1"/>
    <col min="8974" max="8974" width="14.140625" style="24" customWidth="1"/>
    <col min="8975" max="8975" width="11.28515625" style="24" customWidth="1"/>
    <col min="8976" max="8977" width="0" style="24" hidden="1" customWidth="1"/>
    <col min="8978" max="8978" width="8.85546875" style="24" bestFit="1" customWidth="1"/>
    <col min="8979" max="9216" width="11.42578125" style="24"/>
    <col min="9217" max="9217" width="5.28515625" style="24" customWidth="1"/>
    <col min="9218" max="9218" width="25.42578125" style="24" customWidth="1"/>
    <col min="9219" max="9219" width="14" style="24" customWidth="1"/>
    <col min="9220" max="9220" width="9.28515625" style="24" customWidth="1"/>
    <col min="9221" max="9221" width="13.5703125" style="24" customWidth="1"/>
    <col min="9222" max="9222" width="12.140625" style="24" customWidth="1"/>
    <col min="9223" max="9223" width="10.7109375" style="24" customWidth="1"/>
    <col min="9224" max="9224" width="10.42578125" style="24" customWidth="1"/>
    <col min="9225" max="9225" width="10.5703125" style="24" customWidth="1"/>
    <col min="9226" max="9226" width="12.5703125" style="24" customWidth="1"/>
    <col min="9227" max="9227" width="12" style="24" customWidth="1"/>
    <col min="9228" max="9228" width="12.28515625" style="24" customWidth="1"/>
    <col min="9229" max="9229" width="0" style="24" hidden="1" customWidth="1"/>
    <col min="9230" max="9230" width="14.140625" style="24" customWidth="1"/>
    <col min="9231" max="9231" width="11.28515625" style="24" customWidth="1"/>
    <col min="9232" max="9233" width="0" style="24" hidden="1" customWidth="1"/>
    <col min="9234" max="9234" width="8.85546875" style="24" bestFit="1" customWidth="1"/>
    <col min="9235" max="9472" width="11.42578125" style="24"/>
    <col min="9473" max="9473" width="5.28515625" style="24" customWidth="1"/>
    <col min="9474" max="9474" width="25.42578125" style="24" customWidth="1"/>
    <col min="9475" max="9475" width="14" style="24" customWidth="1"/>
    <col min="9476" max="9476" width="9.28515625" style="24" customWidth="1"/>
    <col min="9477" max="9477" width="13.5703125" style="24" customWidth="1"/>
    <col min="9478" max="9478" width="12.140625" style="24" customWidth="1"/>
    <col min="9479" max="9479" width="10.7109375" style="24" customWidth="1"/>
    <col min="9480" max="9480" width="10.42578125" style="24" customWidth="1"/>
    <col min="9481" max="9481" width="10.5703125" style="24" customWidth="1"/>
    <col min="9482" max="9482" width="12.5703125" style="24" customWidth="1"/>
    <col min="9483" max="9483" width="12" style="24" customWidth="1"/>
    <col min="9484" max="9484" width="12.28515625" style="24" customWidth="1"/>
    <col min="9485" max="9485" width="0" style="24" hidden="1" customWidth="1"/>
    <col min="9486" max="9486" width="14.140625" style="24" customWidth="1"/>
    <col min="9487" max="9487" width="11.28515625" style="24" customWidth="1"/>
    <col min="9488" max="9489" width="0" style="24" hidden="1" customWidth="1"/>
    <col min="9490" max="9490" width="8.85546875" style="24" bestFit="1" customWidth="1"/>
    <col min="9491" max="9728" width="11.42578125" style="24"/>
    <col min="9729" max="9729" width="5.28515625" style="24" customWidth="1"/>
    <col min="9730" max="9730" width="25.42578125" style="24" customWidth="1"/>
    <col min="9731" max="9731" width="14" style="24" customWidth="1"/>
    <col min="9732" max="9732" width="9.28515625" style="24" customWidth="1"/>
    <col min="9733" max="9733" width="13.5703125" style="24" customWidth="1"/>
    <col min="9734" max="9734" width="12.140625" style="24" customWidth="1"/>
    <col min="9735" max="9735" width="10.7109375" style="24" customWidth="1"/>
    <col min="9736" max="9736" width="10.42578125" style="24" customWidth="1"/>
    <col min="9737" max="9737" width="10.5703125" style="24" customWidth="1"/>
    <col min="9738" max="9738" width="12.5703125" style="24" customWidth="1"/>
    <col min="9739" max="9739" width="12" style="24" customWidth="1"/>
    <col min="9740" max="9740" width="12.28515625" style="24" customWidth="1"/>
    <col min="9741" max="9741" width="0" style="24" hidden="1" customWidth="1"/>
    <col min="9742" max="9742" width="14.140625" style="24" customWidth="1"/>
    <col min="9743" max="9743" width="11.28515625" style="24" customWidth="1"/>
    <col min="9744" max="9745" width="0" style="24" hidden="1" customWidth="1"/>
    <col min="9746" max="9746" width="8.85546875" style="24" bestFit="1" customWidth="1"/>
    <col min="9747" max="9984" width="11.42578125" style="24"/>
    <col min="9985" max="9985" width="5.28515625" style="24" customWidth="1"/>
    <col min="9986" max="9986" width="25.42578125" style="24" customWidth="1"/>
    <col min="9987" max="9987" width="14" style="24" customWidth="1"/>
    <col min="9988" max="9988" width="9.28515625" style="24" customWidth="1"/>
    <col min="9989" max="9989" width="13.5703125" style="24" customWidth="1"/>
    <col min="9990" max="9990" width="12.140625" style="24" customWidth="1"/>
    <col min="9991" max="9991" width="10.7109375" style="24" customWidth="1"/>
    <col min="9992" max="9992" width="10.42578125" style="24" customWidth="1"/>
    <col min="9993" max="9993" width="10.5703125" style="24" customWidth="1"/>
    <col min="9994" max="9994" width="12.5703125" style="24" customWidth="1"/>
    <col min="9995" max="9995" width="12" style="24" customWidth="1"/>
    <col min="9996" max="9996" width="12.28515625" style="24" customWidth="1"/>
    <col min="9997" max="9997" width="0" style="24" hidden="1" customWidth="1"/>
    <col min="9998" max="9998" width="14.140625" style="24" customWidth="1"/>
    <col min="9999" max="9999" width="11.28515625" style="24" customWidth="1"/>
    <col min="10000" max="10001" width="0" style="24" hidden="1" customWidth="1"/>
    <col min="10002" max="10002" width="8.85546875" style="24" bestFit="1" customWidth="1"/>
    <col min="10003" max="10240" width="11.42578125" style="24"/>
    <col min="10241" max="10241" width="5.28515625" style="24" customWidth="1"/>
    <col min="10242" max="10242" width="25.42578125" style="24" customWidth="1"/>
    <col min="10243" max="10243" width="14" style="24" customWidth="1"/>
    <col min="10244" max="10244" width="9.28515625" style="24" customWidth="1"/>
    <col min="10245" max="10245" width="13.5703125" style="24" customWidth="1"/>
    <col min="10246" max="10246" width="12.140625" style="24" customWidth="1"/>
    <col min="10247" max="10247" width="10.7109375" style="24" customWidth="1"/>
    <col min="10248" max="10248" width="10.42578125" style="24" customWidth="1"/>
    <col min="10249" max="10249" width="10.5703125" style="24" customWidth="1"/>
    <col min="10250" max="10250" width="12.5703125" style="24" customWidth="1"/>
    <col min="10251" max="10251" width="12" style="24" customWidth="1"/>
    <col min="10252" max="10252" width="12.28515625" style="24" customWidth="1"/>
    <col min="10253" max="10253" width="0" style="24" hidden="1" customWidth="1"/>
    <col min="10254" max="10254" width="14.140625" style="24" customWidth="1"/>
    <col min="10255" max="10255" width="11.28515625" style="24" customWidth="1"/>
    <col min="10256" max="10257" width="0" style="24" hidden="1" customWidth="1"/>
    <col min="10258" max="10258" width="8.85546875" style="24" bestFit="1" customWidth="1"/>
    <col min="10259" max="10496" width="11.42578125" style="24"/>
    <col min="10497" max="10497" width="5.28515625" style="24" customWidth="1"/>
    <col min="10498" max="10498" width="25.42578125" style="24" customWidth="1"/>
    <col min="10499" max="10499" width="14" style="24" customWidth="1"/>
    <col min="10500" max="10500" width="9.28515625" style="24" customWidth="1"/>
    <col min="10501" max="10501" width="13.5703125" style="24" customWidth="1"/>
    <col min="10502" max="10502" width="12.140625" style="24" customWidth="1"/>
    <col min="10503" max="10503" width="10.7109375" style="24" customWidth="1"/>
    <col min="10504" max="10504" width="10.42578125" style="24" customWidth="1"/>
    <col min="10505" max="10505" width="10.5703125" style="24" customWidth="1"/>
    <col min="10506" max="10506" width="12.5703125" style="24" customWidth="1"/>
    <col min="10507" max="10507" width="12" style="24" customWidth="1"/>
    <col min="10508" max="10508" width="12.28515625" style="24" customWidth="1"/>
    <col min="10509" max="10509" width="0" style="24" hidden="1" customWidth="1"/>
    <col min="10510" max="10510" width="14.140625" style="24" customWidth="1"/>
    <col min="10511" max="10511" width="11.28515625" style="24" customWidth="1"/>
    <col min="10512" max="10513" width="0" style="24" hidden="1" customWidth="1"/>
    <col min="10514" max="10514" width="8.85546875" style="24" bestFit="1" customWidth="1"/>
    <col min="10515" max="10752" width="11.42578125" style="24"/>
    <col min="10753" max="10753" width="5.28515625" style="24" customWidth="1"/>
    <col min="10754" max="10754" width="25.42578125" style="24" customWidth="1"/>
    <col min="10755" max="10755" width="14" style="24" customWidth="1"/>
    <col min="10756" max="10756" width="9.28515625" style="24" customWidth="1"/>
    <col min="10757" max="10757" width="13.5703125" style="24" customWidth="1"/>
    <col min="10758" max="10758" width="12.140625" style="24" customWidth="1"/>
    <col min="10759" max="10759" width="10.7109375" style="24" customWidth="1"/>
    <col min="10760" max="10760" width="10.42578125" style="24" customWidth="1"/>
    <col min="10761" max="10761" width="10.5703125" style="24" customWidth="1"/>
    <col min="10762" max="10762" width="12.5703125" style="24" customWidth="1"/>
    <col min="10763" max="10763" width="12" style="24" customWidth="1"/>
    <col min="10764" max="10764" width="12.28515625" style="24" customWidth="1"/>
    <col min="10765" max="10765" width="0" style="24" hidden="1" customWidth="1"/>
    <col min="10766" max="10766" width="14.140625" style="24" customWidth="1"/>
    <col min="10767" max="10767" width="11.28515625" style="24" customWidth="1"/>
    <col min="10768" max="10769" width="0" style="24" hidden="1" customWidth="1"/>
    <col min="10770" max="10770" width="8.85546875" style="24" bestFit="1" customWidth="1"/>
    <col min="10771" max="11008" width="11.42578125" style="24"/>
    <col min="11009" max="11009" width="5.28515625" style="24" customWidth="1"/>
    <col min="11010" max="11010" width="25.42578125" style="24" customWidth="1"/>
    <col min="11011" max="11011" width="14" style="24" customWidth="1"/>
    <col min="11012" max="11012" width="9.28515625" style="24" customWidth="1"/>
    <col min="11013" max="11013" width="13.5703125" style="24" customWidth="1"/>
    <col min="11014" max="11014" width="12.140625" style="24" customWidth="1"/>
    <col min="11015" max="11015" width="10.7109375" style="24" customWidth="1"/>
    <col min="11016" max="11016" width="10.42578125" style="24" customWidth="1"/>
    <col min="11017" max="11017" width="10.5703125" style="24" customWidth="1"/>
    <col min="11018" max="11018" width="12.5703125" style="24" customWidth="1"/>
    <col min="11019" max="11019" width="12" style="24" customWidth="1"/>
    <col min="11020" max="11020" width="12.28515625" style="24" customWidth="1"/>
    <col min="11021" max="11021" width="0" style="24" hidden="1" customWidth="1"/>
    <col min="11022" max="11022" width="14.140625" style="24" customWidth="1"/>
    <col min="11023" max="11023" width="11.28515625" style="24" customWidth="1"/>
    <col min="11024" max="11025" width="0" style="24" hidden="1" customWidth="1"/>
    <col min="11026" max="11026" width="8.85546875" style="24" bestFit="1" customWidth="1"/>
    <col min="11027" max="11264" width="11.42578125" style="24"/>
    <col min="11265" max="11265" width="5.28515625" style="24" customWidth="1"/>
    <col min="11266" max="11266" width="25.42578125" style="24" customWidth="1"/>
    <col min="11267" max="11267" width="14" style="24" customWidth="1"/>
    <col min="11268" max="11268" width="9.28515625" style="24" customWidth="1"/>
    <col min="11269" max="11269" width="13.5703125" style="24" customWidth="1"/>
    <col min="11270" max="11270" width="12.140625" style="24" customWidth="1"/>
    <col min="11271" max="11271" width="10.7109375" style="24" customWidth="1"/>
    <col min="11272" max="11272" width="10.42578125" style="24" customWidth="1"/>
    <col min="11273" max="11273" width="10.5703125" style="24" customWidth="1"/>
    <col min="11274" max="11274" width="12.5703125" style="24" customWidth="1"/>
    <col min="11275" max="11275" width="12" style="24" customWidth="1"/>
    <col min="11276" max="11276" width="12.28515625" style="24" customWidth="1"/>
    <col min="11277" max="11277" width="0" style="24" hidden="1" customWidth="1"/>
    <col min="11278" max="11278" width="14.140625" style="24" customWidth="1"/>
    <col min="11279" max="11279" width="11.28515625" style="24" customWidth="1"/>
    <col min="11280" max="11281" width="0" style="24" hidden="1" customWidth="1"/>
    <col min="11282" max="11282" width="8.85546875" style="24" bestFit="1" customWidth="1"/>
    <col min="11283" max="11520" width="11.42578125" style="24"/>
    <col min="11521" max="11521" width="5.28515625" style="24" customWidth="1"/>
    <col min="11522" max="11522" width="25.42578125" style="24" customWidth="1"/>
    <col min="11523" max="11523" width="14" style="24" customWidth="1"/>
    <col min="11524" max="11524" width="9.28515625" style="24" customWidth="1"/>
    <col min="11525" max="11525" width="13.5703125" style="24" customWidth="1"/>
    <col min="11526" max="11526" width="12.140625" style="24" customWidth="1"/>
    <col min="11527" max="11527" width="10.7109375" style="24" customWidth="1"/>
    <col min="11528" max="11528" width="10.42578125" style="24" customWidth="1"/>
    <col min="11529" max="11529" width="10.5703125" style="24" customWidth="1"/>
    <col min="11530" max="11530" width="12.5703125" style="24" customWidth="1"/>
    <col min="11531" max="11531" width="12" style="24" customWidth="1"/>
    <col min="11532" max="11532" width="12.28515625" style="24" customWidth="1"/>
    <col min="11533" max="11533" width="0" style="24" hidden="1" customWidth="1"/>
    <col min="11534" max="11534" width="14.140625" style="24" customWidth="1"/>
    <col min="11535" max="11535" width="11.28515625" style="24" customWidth="1"/>
    <col min="11536" max="11537" width="0" style="24" hidden="1" customWidth="1"/>
    <col min="11538" max="11538" width="8.85546875" style="24" bestFit="1" customWidth="1"/>
    <col min="11539" max="11776" width="11.42578125" style="24"/>
    <col min="11777" max="11777" width="5.28515625" style="24" customWidth="1"/>
    <col min="11778" max="11778" width="25.42578125" style="24" customWidth="1"/>
    <col min="11779" max="11779" width="14" style="24" customWidth="1"/>
    <col min="11780" max="11780" width="9.28515625" style="24" customWidth="1"/>
    <col min="11781" max="11781" width="13.5703125" style="24" customWidth="1"/>
    <col min="11782" max="11782" width="12.140625" style="24" customWidth="1"/>
    <col min="11783" max="11783" width="10.7109375" style="24" customWidth="1"/>
    <col min="11784" max="11784" width="10.42578125" style="24" customWidth="1"/>
    <col min="11785" max="11785" width="10.5703125" style="24" customWidth="1"/>
    <col min="11786" max="11786" width="12.5703125" style="24" customWidth="1"/>
    <col min="11787" max="11787" width="12" style="24" customWidth="1"/>
    <col min="11788" max="11788" width="12.28515625" style="24" customWidth="1"/>
    <col min="11789" max="11789" width="0" style="24" hidden="1" customWidth="1"/>
    <col min="11790" max="11790" width="14.140625" style="24" customWidth="1"/>
    <col min="11791" max="11791" width="11.28515625" style="24" customWidth="1"/>
    <col min="11792" max="11793" width="0" style="24" hidden="1" customWidth="1"/>
    <col min="11794" max="11794" width="8.85546875" style="24" bestFit="1" customWidth="1"/>
    <col min="11795" max="12032" width="11.42578125" style="24"/>
    <col min="12033" max="12033" width="5.28515625" style="24" customWidth="1"/>
    <col min="12034" max="12034" width="25.42578125" style="24" customWidth="1"/>
    <col min="12035" max="12035" width="14" style="24" customWidth="1"/>
    <col min="12036" max="12036" width="9.28515625" style="24" customWidth="1"/>
    <col min="12037" max="12037" width="13.5703125" style="24" customWidth="1"/>
    <col min="12038" max="12038" width="12.140625" style="24" customWidth="1"/>
    <col min="12039" max="12039" width="10.7109375" style="24" customWidth="1"/>
    <col min="12040" max="12040" width="10.42578125" style="24" customWidth="1"/>
    <col min="12041" max="12041" width="10.5703125" style="24" customWidth="1"/>
    <col min="12042" max="12042" width="12.5703125" style="24" customWidth="1"/>
    <col min="12043" max="12043" width="12" style="24" customWidth="1"/>
    <col min="12044" max="12044" width="12.28515625" style="24" customWidth="1"/>
    <col min="12045" max="12045" width="0" style="24" hidden="1" customWidth="1"/>
    <col min="12046" max="12046" width="14.140625" style="24" customWidth="1"/>
    <col min="12047" max="12047" width="11.28515625" style="24" customWidth="1"/>
    <col min="12048" max="12049" width="0" style="24" hidden="1" customWidth="1"/>
    <col min="12050" max="12050" width="8.85546875" style="24" bestFit="1" customWidth="1"/>
    <col min="12051" max="12288" width="11.42578125" style="24"/>
    <col min="12289" max="12289" width="5.28515625" style="24" customWidth="1"/>
    <col min="12290" max="12290" width="25.42578125" style="24" customWidth="1"/>
    <col min="12291" max="12291" width="14" style="24" customWidth="1"/>
    <col min="12292" max="12292" width="9.28515625" style="24" customWidth="1"/>
    <col min="12293" max="12293" width="13.5703125" style="24" customWidth="1"/>
    <col min="12294" max="12294" width="12.140625" style="24" customWidth="1"/>
    <col min="12295" max="12295" width="10.7109375" style="24" customWidth="1"/>
    <col min="12296" max="12296" width="10.42578125" style="24" customWidth="1"/>
    <col min="12297" max="12297" width="10.5703125" style="24" customWidth="1"/>
    <col min="12298" max="12298" width="12.5703125" style="24" customWidth="1"/>
    <col min="12299" max="12299" width="12" style="24" customWidth="1"/>
    <col min="12300" max="12300" width="12.28515625" style="24" customWidth="1"/>
    <col min="12301" max="12301" width="0" style="24" hidden="1" customWidth="1"/>
    <col min="12302" max="12302" width="14.140625" style="24" customWidth="1"/>
    <col min="12303" max="12303" width="11.28515625" style="24" customWidth="1"/>
    <col min="12304" max="12305" width="0" style="24" hidden="1" customWidth="1"/>
    <col min="12306" max="12306" width="8.85546875" style="24" bestFit="1" customWidth="1"/>
    <col min="12307" max="12544" width="11.42578125" style="24"/>
    <col min="12545" max="12545" width="5.28515625" style="24" customWidth="1"/>
    <col min="12546" max="12546" width="25.42578125" style="24" customWidth="1"/>
    <col min="12547" max="12547" width="14" style="24" customWidth="1"/>
    <col min="12548" max="12548" width="9.28515625" style="24" customWidth="1"/>
    <col min="12549" max="12549" width="13.5703125" style="24" customWidth="1"/>
    <col min="12550" max="12550" width="12.140625" style="24" customWidth="1"/>
    <col min="12551" max="12551" width="10.7109375" style="24" customWidth="1"/>
    <col min="12552" max="12552" width="10.42578125" style="24" customWidth="1"/>
    <col min="12553" max="12553" width="10.5703125" style="24" customWidth="1"/>
    <col min="12554" max="12554" width="12.5703125" style="24" customWidth="1"/>
    <col min="12555" max="12555" width="12" style="24" customWidth="1"/>
    <col min="12556" max="12556" width="12.28515625" style="24" customWidth="1"/>
    <col min="12557" max="12557" width="0" style="24" hidden="1" customWidth="1"/>
    <col min="12558" max="12558" width="14.140625" style="24" customWidth="1"/>
    <col min="12559" max="12559" width="11.28515625" style="24" customWidth="1"/>
    <col min="12560" max="12561" width="0" style="24" hidden="1" customWidth="1"/>
    <col min="12562" max="12562" width="8.85546875" style="24" bestFit="1" customWidth="1"/>
    <col min="12563" max="12800" width="11.42578125" style="24"/>
    <col min="12801" max="12801" width="5.28515625" style="24" customWidth="1"/>
    <col min="12802" max="12802" width="25.42578125" style="24" customWidth="1"/>
    <col min="12803" max="12803" width="14" style="24" customWidth="1"/>
    <col min="12804" max="12804" width="9.28515625" style="24" customWidth="1"/>
    <col min="12805" max="12805" width="13.5703125" style="24" customWidth="1"/>
    <col min="12806" max="12806" width="12.140625" style="24" customWidth="1"/>
    <col min="12807" max="12807" width="10.7109375" style="24" customWidth="1"/>
    <col min="12808" max="12808" width="10.42578125" style="24" customWidth="1"/>
    <col min="12809" max="12809" width="10.5703125" style="24" customWidth="1"/>
    <col min="12810" max="12810" width="12.5703125" style="24" customWidth="1"/>
    <col min="12811" max="12811" width="12" style="24" customWidth="1"/>
    <col min="12812" max="12812" width="12.28515625" style="24" customWidth="1"/>
    <col min="12813" max="12813" width="0" style="24" hidden="1" customWidth="1"/>
    <col min="12814" max="12814" width="14.140625" style="24" customWidth="1"/>
    <col min="12815" max="12815" width="11.28515625" style="24" customWidth="1"/>
    <col min="12816" max="12817" width="0" style="24" hidden="1" customWidth="1"/>
    <col min="12818" max="12818" width="8.85546875" style="24" bestFit="1" customWidth="1"/>
    <col min="12819" max="13056" width="11.42578125" style="24"/>
    <col min="13057" max="13057" width="5.28515625" style="24" customWidth="1"/>
    <col min="13058" max="13058" width="25.42578125" style="24" customWidth="1"/>
    <col min="13059" max="13059" width="14" style="24" customWidth="1"/>
    <col min="13060" max="13060" width="9.28515625" style="24" customWidth="1"/>
    <col min="13061" max="13061" width="13.5703125" style="24" customWidth="1"/>
    <col min="13062" max="13062" width="12.140625" style="24" customWidth="1"/>
    <col min="13063" max="13063" width="10.7109375" style="24" customWidth="1"/>
    <col min="13064" max="13064" width="10.42578125" style="24" customWidth="1"/>
    <col min="13065" max="13065" width="10.5703125" style="24" customWidth="1"/>
    <col min="13066" max="13066" width="12.5703125" style="24" customWidth="1"/>
    <col min="13067" max="13067" width="12" style="24" customWidth="1"/>
    <col min="13068" max="13068" width="12.28515625" style="24" customWidth="1"/>
    <col min="13069" max="13069" width="0" style="24" hidden="1" customWidth="1"/>
    <col min="13070" max="13070" width="14.140625" style="24" customWidth="1"/>
    <col min="13071" max="13071" width="11.28515625" style="24" customWidth="1"/>
    <col min="13072" max="13073" width="0" style="24" hidden="1" customWidth="1"/>
    <col min="13074" max="13074" width="8.85546875" style="24" bestFit="1" customWidth="1"/>
    <col min="13075" max="13312" width="11.42578125" style="24"/>
    <col min="13313" max="13313" width="5.28515625" style="24" customWidth="1"/>
    <col min="13314" max="13314" width="25.42578125" style="24" customWidth="1"/>
    <col min="13315" max="13315" width="14" style="24" customWidth="1"/>
    <col min="13316" max="13316" width="9.28515625" style="24" customWidth="1"/>
    <col min="13317" max="13317" width="13.5703125" style="24" customWidth="1"/>
    <col min="13318" max="13318" width="12.140625" style="24" customWidth="1"/>
    <col min="13319" max="13319" width="10.7109375" style="24" customWidth="1"/>
    <col min="13320" max="13320" width="10.42578125" style="24" customWidth="1"/>
    <col min="13321" max="13321" width="10.5703125" style="24" customWidth="1"/>
    <col min="13322" max="13322" width="12.5703125" style="24" customWidth="1"/>
    <col min="13323" max="13323" width="12" style="24" customWidth="1"/>
    <col min="13324" max="13324" width="12.28515625" style="24" customWidth="1"/>
    <col min="13325" max="13325" width="0" style="24" hidden="1" customWidth="1"/>
    <col min="13326" max="13326" width="14.140625" style="24" customWidth="1"/>
    <col min="13327" max="13327" width="11.28515625" style="24" customWidth="1"/>
    <col min="13328" max="13329" width="0" style="24" hidden="1" customWidth="1"/>
    <col min="13330" max="13330" width="8.85546875" style="24" bestFit="1" customWidth="1"/>
    <col min="13331" max="13568" width="11.42578125" style="24"/>
    <col min="13569" max="13569" width="5.28515625" style="24" customWidth="1"/>
    <col min="13570" max="13570" width="25.42578125" style="24" customWidth="1"/>
    <col min="13571" max="13571" width="14" style="24" customWidth="1"/>
    <col min="13572" max="13572" width="9.28515625" style="24" customWidth="1"/>
    <col min="13573" max="13573" width="13.5703125" style="24" customWidth="1"/>
    <col min="13574" max="13574" width="12.140625" style="24" customWidth="1"/>
    <col min="13575" max="13575" width="10.7109375" style="24" customWidth="1"/>
    <col min="13576" max="13576" width="10.42578125" style="24" customWidth="1"/>
    <col min="13577" max="13577" width="10.5703125" style="24" customWidth="1"/>
    <col min="13578" max="13578" width="12.5703125" style="24" customWidth="1"/>
    <col min="13579" max="13579" width="12" style="24" customWidth="1"/>
    <col min="13580" max="13580" width="12.28515625" style="24" customWidth="1"/>
    <col min="13581" max="13581" width="0" style="24" hidden="1" customWidth="1"/>
    <col min="13582" max="13582" width="14.140625" style="24" customWidth="1"/>
    <col min="13583" max="13583" width="11.28515625" style="24" customWidth="1"/>
    <col min="13584" max="13585" width="0" style="24" hidden="1" customWidth="1"/>
    <col min="13586" max="13586" width="8.85546875" style="24" bestFit="1" customWidth="1"/>
    <col min="13587" max="13824" width="11.42578125" style="24"/>
    <col min="13825" max="13825" width="5.28515625" style="24" customWidth="1"/>
    <col min="13826" max="13826" width="25.42578125" style="24" customWidth="1"/>
    <col min="13827" max="13827" width="14" style="24" customWidth="1"/>
    <col min="13828" max="13828" width="9.28515625" style="24" customWidth="1"/>
    <col min="13829" max="13829" width="13.5703125" style="24" customWidth="1"/>
    <col min="13830" max="13830" width="12.140625" style="24" customWidth="1"/>
    <col min="13831" max="13831" width="10.7109375" style="24" customWidth="1"/>
    <col min="13832" max="13832" width="10.42578125" style="24" customWidth="1"/>
    <col min="13833" max="13833" width="10.5703125" style="24" customWidth="1"/>
    <col min="13834" max="13834" width="12.5703125" style="24" customWidth="1"/>
    <col min="13835" max="13835" width="12" style="24" customWidth="1"/>
    <col min="13836" max="13836" width="12.28515625" style="24" customWidth="1"/>
    <col min="13837" max="13837" width="0" style="24" hidden="1" customWidth="1"/>
    <col min="13838" max="13838" width="14.140625" style="24" customWidth="1"/>
    <col min="13839" max="13839" width="11.28515625" style="24" customWidth="1"/>
    <col min="13840" max="13841" width="0" style="24" hidden="1" customWidth="1"/>
    <col min="13842" max="13842" width="8.85546875" style="24" bestFit="1" customWidth="1"/>
    <col min="13843" max="14080" width="11.42578125" style="24"/>
    <col min="14081" max="14081" width="5.28515625" style="24" customWidth="1"/>
    <col min="14082" max="14082" width="25.42578125" style="24" customWidth="1"/>
    <col min="14083" max="14083" width="14" style="24" customWidth="1"/>
    <col min="14084" max="14084" width="9.28515625" style="24" customWidth="1"/>
    <col min="14085" max="14085" width="13.5703125" style="24" customWidth="1"/>
    <col min="14086" max="14086" width="12.140625" style="24" customWidth="1"/>
    <col min="14087" max="14087" width="10.7109375" style="24" customWidth="1"/>
    <col min="14088" max="14088" width="10.42578125" style="24" customWidth="1"/>
    <col min="14089" max="14089" width="10.5703125" style="24" customWidth="1"/>
    <col min="14090" max="14090" width="12.5703125" style="24" customWidth="1"/>
    <col min="14091" max="14091" width="12" style="24" customWidth="1"/>
    <col min="14092" max="14092" width="12.28515625" style="24" customWidth="1"/>
    <col min="14093" max="14093" width="0" style="24" hidden="1" customWidth="1"/>
    <col min="14094" max="14094" width="14.140625" style="24" customWidth="1"/>
    <col min="14095" max="14095" width="11.28515625" style="24" customWidth="1"/>
    <col min="14096" max="14097" width="0" style="24" hidden="1" customWidth="1"/>
    <col min="14098" max="14098" width="8.85546875" style="24" bestFit="1" customWidth="1"/>
    <col min="14099" max="14336" width="11.42578125" style="24"/>
    <col min="14337" max="14337" width="5.28515625" style="24" customWidth="1"/>
    <col min="14338" max="14338" width="25.42578125" style="24" customWidth="1"/>
    <col min="14339" max="14339" width="14" style="24" customWidth="1"/>
    <col min="14340" max="14340" width="9.28515625" style="24" customWidth="1"/>
    <col min="14341" max="14341" width="13.5703125" style="24" customWidth="1"/>
    <col min="14342" max="14342" width="12.140625" style="24" customWidth="1"/>
    <col min="14343" max="14343" width="10.7109375" style="24" customWidth="1"/>
    <col min="14344" max="14344" width="10.42578125" style="24" customWidth="1"/>
    <col min="14345" max="14345" width="10.5703125" style="24" customWidth="1"/>
    <col min="14346" max="14346" width="12.5703125" style="24" customWidth="1"/>
    <col min="14347" max="14347" width="12" style="24" customWidth="1"/>
    <col min="14348" max="14348" width="12.28515625" style="24" customWidth="1"/>
    <col min="14349" max="14349" width="0" style="24" hidden="1" customWidth="1"/>
    <col min="14350" max="14350" width="14.140625" style="24" customWidth="1"/>
    <col min="14351" max="14351" width="11.28515625" style="24" customWidth="1"/>
    <col min="14352" max="14353" width="0" style="24" hidden="1" customWidth="1"/>
    <col min="14354" max="14354" width="8.85546875" style="24" bestFit="1" customWidth="1"/>
    <col min="14355" max="14592" width="11.42578125" style="24"/>
    <col min="14593" max="14593" width="5.28515625" style="24" customWidth="1"/>
    <col min="14594" max="14594" width="25.42578125" style="24" customWidth="1"/>
    <col min="14595" max="14595" width="14" style="24" customWidth="1"/>
    <col min="14596" max="14596" width="9.28515625" style="24" customWidth="1"/>
    <col min="14597" max="14597" width="13.5703125" style="24" customWidth="1"/>
    <col min="14598" max="14598" width="12.140625" style="24" customWidth="1"/>
    <col min="14599" max="14599" width="10.7109375" style="24" customWidth="1"/>
    <col min="14600" max="14600" width="10.42578125" style="24" customWidth="1"/>
    <col min="14601" max="14601" width="10.5703125" style="24" customWidth="1"/>
    <col min="14602" max="14602" width="12.5703125" style="24" customWidth="1"/>
    <col min="14603" max="14603" width="12" style="24" customWidth="1"/>
    <col min="14604" max="14604" width="12.28515625" style="24" customWidth="1"/>
    <col min="14605" max="14605" width="0" style="24" hidden="1" customWidth="1"/>
    <col min="14606" max="14606" width="14.140625" style="24" customWidth="1"/>
    <col min="14607" max="14607" width="11.28515625" style="24" customWidth="1"/>
    <col min="14608" max="14609" width="0" style="24" hidden="1" customWidth="1"/>
    <col min="14610" max="14610" width="8.85546875" style="24" bestFit="1" customWidth="1"/>
    <col min="14611" max="14848" width="11.42578125" style="24"/>
    <col min="14849" max="14849" width="5.28515625" style="24" customWidth="1"/>
    <col min="14850" max="14850" width="25.42578125" style="24" customWidth="1"/>
    <col min="14851" max="14851" width="14" style="24" customWidth="1"/>
    <col min="14852" max="14852" width="9.28515625" style="24" customWidth="1"/>
    <col min="14853" max="14853" width="13.5703125" style="24" customWidth="1"/>
    <col min="14854" max="14854" width="12.140625" style="24" customWidth="1"/>
    <col min="14855" max="14855" width="10.7109375" style="24" customWidth="1"/>
    <col min="14856" max="14856" width="10.42578125" style="24" customWidth="1"/>
    <col min="14857" max="14857" width="10.5703125" style="24" customWidth="1"/>
    <col min="14858" max="14858" width="12.5703125" style="24" customWidth="1"/>
    <col min="14859" max="14859" width="12" style="24" customWidth="1"/>
    <col min="14860" max="14860" width="12.28515625" style="24" customWidth="1"/>
    <col min="14861" max="14861" width="0" style="24" hidden="1" customWidth="1"/>
    <col min="14862" max="14862" width="14.140625" style="24" customWidth="1"/>
    <col min="14863" max="14863" width="11.28515625" style="24" customWidth="1"/>
    <col min="14864" max="14865" width="0" style="24" hidden="1" customWidth="1"/>
    <col min="14866" max="14866" width="8.85546875" style="24" bestFit="1" customWidth="1"/>
    <col min="14867" max="15104" width="11.42578125" style="24"/>
    <col min="15105" max="15105" width="5.28515625" style="24" customWidth="1"/>
    <col min="15106" max="15106" width="25.42578125" style="24" customWidth="1"/>
    <col min="15107" max="15107" width="14" style="24" customWidth="1"/>
    <col min="15108" max="15108" width="9.28515625" style="24" customWidth="1"/>
    <col min="15109" max="15109" width="13.5703125" style="24" customWidth="1"/>
    <col min="15110" max="15110" width="12.140625" style="24" customWidth="1"/>
    <col min="15111" max="15111" width="10.7109375" style="24" customWidth="1"/>
    <col min="15112" max="15112" width="10.42578125" style="24" customWidth="1"/>
    <col min="15113" max="15113" width="10.5703125" style="24" customWidth="1"/>
    <col min="15114" max="15114" width="12.5703125" style="24" customWidth="1"/>
    <col min="15115" max="15115" width="12" style="24" customWidth="1"/>
    <col min="15116" max="15116" width="12.28515625" style="24" customWidth="1"/>
    <col min="15117" max="15117" width="0" style="24" hidden="1" customWidth="1"/>
    <col min="15118" max="15118" width="14.140625" style="24" customWidth="1"/>
    <col min="15119" max="15119" width="11.28515625" style="24" customWidth="1"/>
    <col min="15120" max="15121" width="0" style="24" hidden="1" customWidth="1"/>
    <col min="15122" max="15122" width="8.85546875" style="24" bestFit="1" customWidth="1"/>
    <col min="15123" max="15360" width="11.42578125" style="24"/>
    <col min="15361" max="15361" width="5.28515625" style="24" customWidth="1"/>
    <col min="15362" max="15362" width="25.42578125" style="24" customWidth="1"/>
    <col min="15363" max="15363" width="14" style="24" customWidth="1"/>
    <col min="15364" max="15364" width="9.28515625" style="24" customWidth="1"/>
    <col min="15365" max="15365" width="13.5703125" style="24" customWidth="1"/>
    <col min="15366" max="15366" width="12.140625" style="24" customWidth="1"/>
    <col min="15367" max="15367" width="10.7109375" style="24" customWidth="1"/>
    <col min="15368" max="15368" width="10.42578125" style="24" customWidth="1"/>
    <col min="15369" max="15369" width="10.5703125" style="24" customWidth="1"/>
    <col min="15370" max="15370" width="12.5703125" style="24" customWidth="1"/>
    <col min="15371" max="15371" width="12" style="24" customWidth="1"/>
    <col min="15372" max="15372" width="12.28515625" style="24" customWidth="1"/>
    <col min="15373" max="15373" width="0" style="24" hidden="1" customWidth="1"/>
    <col min="15374" max="15374" width="14.140625" style="24" customWidth="1"/>
    <col min="15375" max="15375" width="11.28515625" style="24" customWidth="1"/>
    <col min="15376" max="15377" width="0" style="24" hidden="1" customWidth="1"/>
    <col min="15378" max="15378" width="8.85546875" style="24" bestFit="1" customWidth="1"/>
    <col min="15379" max="15616" width="11.42578125" style="24"/>
    <col min="15617" max="15617" width="5.28515625" style="24" customWidth="1"/>
    <col min="15618" max="15618" width="25.42578125" style="24" customWidth="1"/>
    <col min="15619" max="15619" width="14" style="24" customWidth="1"/>
    <col min="15620" max="15620" width="9.28515625" style="24" customWidth="1"/>
    <col min="15621" max="15621" width="13.5703125" style="24" customWidth="1"/>
    <col min="15622" max="15622" width="12.140625" style="24" customWidth="1"/>
    <col min="15623" max="15623" width="10.7109375" style="24" customWidth="1"/>
    <col min="15624" max="15624" width="10.42578125" style="24" customWidth="1"/>
    <col min="15625" max="15625" width="10.5703125" style="24" customWidth="1"/>
    <col min="15626" max="15626" width="12.5703125" style="24" customWidth="1"/>
    <col min="15627" max="15627" width="12" style="24" customWidth="1"/>
    <col min="15628" max="15628" width="12.28515625" style="24" customWidth="1"/>
    <col min="15629" max="15629" width="0" style="24" hidden="1" customWidth="1"/>
    <col min="15630" max="15630" width="14.140625" style="24" customWidth="1"/>
    <col min="15631" max="15631" width="11.28515625" style="24" customWidth="1"/>
    <col min="15632" max="15633" width="0" style="24" hidden="1" customWidth="1"/>
    <col min="15634" max="15634" width="8.85546875" style="24" bestFit="1" customWidth="1"/>
    <col min="15635" max="15872" width="11.42578125" style="24"/>
    <col min="15873" max="15873" width="5.28515625" style="24" customWidth="1"/>
    <col min="15874" max="15874" width="25.42578125" style="24" customWidth="1"/>
    <col min="15875" max="15875" width="14" style="24" customWidth="1"/>
    <col min="15876" max="15876" width="9.28515625" style="24" customWidth="1"/>
    <col min="15877" max="15877" width="13.5703125" style="24" customWidth="1"/>
    <col min="15878" max="15878" width="12.140625" style="24" customWidth="1"/>
    <col min="15879" max="15879" width="10.7109375" style="24" customWidth="1"/>
    <col min="15880" max="15880" width="10.42578125" style="24" customWidth="1"/>
    <col min="15881" max="15881" width="10.5703125" style="24" customWidth="1"/>
    <col min="15882" max="15882" width="12.5703125" style="24" customWidth="1"/>
    <col min="15883" max="15883" width="12" style="24" customWidth="1"/>
    <col min="15884" max="15884" width="12.28515625" style="24" customWidth="1"/>
    <col min="15885" max="15885" width="0" style="24" hidden="1" customWidth="1"/>
    <col min="15886" max="15886" width="14.140625" style="24" customWidth="1"/>
    <col min="15887" max="15887" width="11.28515625" style="24" customWidth="1"/>
    <col min="15888" max="15889" width="0" style="24" hidden="1" customWidth="1"/>
    <col min="15890" max="15890" width="8.85546875" style="24" bestFit="1" customWidth="1"/>
    <col min="15891" max="16128" width="11.42578125" style="24"/>
    <col min="16129" max="16129" width="5.28515625" style="24" customWidth="1"/>
    <col min="16130" max="16130" width="25.42578125" style="24" customWidth="1"/>
    <col min="16131" max="16131" width="14" style="24" customWidth="1"/>
    <col min="16132" max="16132" width="9.28515625" style="24" customWidth="1"/>
    <col min="16133" max="16133" width="13.5703125" style="24" customWidth="1"/>
    <col min="16134" max="16134" width="12.140625" style="24" customWidth="1"/>
    <col min="16135" max="16135" width="10.7109375" style="24" customWidth="1"/>
    <col min="16136" max="16136" width="10.42578125" style="24" customWidth="1"/>
    <col min="16137" max="16137" width="10.5703125" style="24" customWidth="1"/>
    <col min="16138" max="16138" width="12.5703125" style="24" customWidth="1"/>
    <col min="16139" max="16139" width="12" style="24" customWidth="1"/>
    <col min="16140" max="16140" width="12.28515625" style="24" customWidth="1"/>
    <col min="16141" max="16141" width="0" style="24" hidden="1" customWidth="1"/>
    <col min="16142" max="16142" width="14.140625" style="24" customWidth="1"/>
    <col min="16143" max="16143" width="11.28515625" style="24" customWidth="1"/>
    <col min="16144" max="16145" width="0" style="24" hidden="1" customWidth="1"/>
    <col min="16146" max="16146" width="8.85546875" style="24" bestFit="1" customWidth="1"/>
    <col min="16147" max="16384" width="11.42578125" style="24"/>
  </cols>
  <sheetData>
    <row r="1" spans="1:19" s="22" customFormat="1" ht="29.45" customHeight="1" x14ac:dyDescent="0.2">
      <c r="A1" s="223" t="s">
        <v>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9" s="22" customFormat="1" ht="21" customHeight="1" x14ac:dyDescent="0.2">
      <c r="A2" s="224" t="s">
        <v>83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9" s="22" customFormat="1" ht="21" customHeight="1" x14ac:dyDescent="0.2">
      <c r="A3" s="224" t="s">
        <v>22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19" s="2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ht="25.5" customHeight="1" x14ac:dyDescent="0.2">
      <c r="A5" s="225" t="s">
        <v>23</v>
      </c>
      <c r="B5" s="228" t="s">
        <v>24</v>
      </c>
      <c r="C5" s="228" t="s">
        <v>25</v>
      </c>
      <c r="D5" s="231" t="s">
        <v>26</v>
      </c>
      <c r="E5" s="232"/>
      <c r="F5" s="232"/>
      <c r="G5" s="232"/>
      <c r="H5" s="233"/>
      <c r="I5" s="231" t="s">
        <v>27</v>
      </c>
      <c r="J5" s="232"/>
      <c r="K5" s="232"/>
      <c r="L5" s="232"/>
      <c r="M5" s="232"/>
      <c r="N5" s="232"/>
      <c r="O5" s="232"/>
      <c r="P5" s="232"/>
      <c r="Q5" s="232"/>
      <c r="R5" s="233"/>
    </row>
    <row r="6" spans="1:19" ht="21" customHeight="1" x14ac:dyDescent="0.2">
      <c r="A6" s="226"/>
      <c r="B6" s="229"/>
      <c r="C6" s="229"/>
      <c r="D6" s="228" t="s">
        <v>71</v>
      </c>
      <c r="E6" s="228" t="s">
        <v>28</v>
      </c>
      <c r="F6" s="228" t="s">
        <v>29</v>
      </c>
      <c r="G6" s="216" t="s">
        <v>30</v>
      </c>
      <c r="H6" s="216"/>
      <c r="I6" s="216" t="s">
        <v>31</v>
      </c>
      <c r="J6" s="216" t="s">
        <v>32</v>
      </c>
      <c r="K6" s="216" t="s">
        <v>33</v>
      </c>
      <c r="L6" s="216" t="s">
        <v>34</v>
      </c>
      <c r="M6" s="228" t="s">
        <v>35</v>
      </c>
      <c r="N6" s="228" t="s">
        <v>67</v>
      </c>
      <c r="O6" s="216" t="s">
        <v>68</v>
      </c>
      <c r="P6" s="216" t="s">
        <v>38</v>
      </c>
      <c r="Q6" s="216"/>
      <c r="R6" s="228" t="s">
        <v>39</v>
      </c>
    </row>
    <row r="7" spans="1:19" ht="17.25" customHeight="1" x14ac:dyDescent="0.2">
      <c r="A7" s="227"/>
      <c r="B7" s="230"/>
      <c r="C7" s="230"/>
      <c r="D7" s="230"/>
      <c r="E7" s="230"/>
      <c r="F7" s="230"/>
      <c r="G7" s="25" t="s">
        <v>40</v>
      </c>
      <c r="H7" s="25" t="s">
        <v>0</v>
      </c>
      <c r="I7" s="216"/>
      <c r="J7" s="216"/>
      <c r="K7" s="216"/>
      <c r="L7" s="216"/>
      <c r="M7" s="230"/>
      <c r="N7" s="230"/>
      <c r="O7" s="216"/>
      <c r="P7" s="25" t="s">
        <v>41</v>
      </c>
      <c r="Q7" s="25" t="s">
        <v>0</v>
      </c>
      <c r="R7" s="230"/>
    </row>
    <row r="8" spans="1:19" ht="28.5" customHeight="1" x14ac:dyDescent="0.2">
      <c r="A8" s="26">
        <v>1</v>
      </c>
      <c r="B8" s="27" t="s">
        <v>44</v>
      </c>
      <c r="C8" s="28" t="s">
        <v>86</v>
      </c>
      <c r="D8" s="29">
        <v>604</v>
      </c>
      <c r="E8" s="53">
        <v>89</v>
      </c>
      <c r="F8" s="53">
        <v>89</v>
      </c>
      <c r="G8" s="54">
        <f t="shared" ref="G8:G19" si="0">F8-E8</f>
        <v>0</v>
      </c>
      <c r="H8" s="55">
        <f>(F8/E8)-1</f>
        <v>0</v>
      </c>
      <c r="I8" s="56">
        <v>0</v>
      </c>
      <c r="J8" s="57"/>
      <c r="K8" s="57"/>
      <c r="L8" s="57">
        <f t="shared" ref="L8:L19" si="1">SUM(J8:K8)</f>
        <v>0</v>
      </c>
      <c r="M8" s="57">
        <f t="shared" ref="M8:M19" si="2">L8</f>
        <v>0</v>
      </c>
      <c r="N8" s="57"/>
      <c r="O8" s="57">
        <v>2261.7600000000002</v>
      </c>
      <c r="P8" s="31">
        <f t="shared" ref="P8:P19" si="3">+N8-O8</f>
        <v>-2261.7600000000002</v>
      </c>
      <c r="Q8" s="32" t="e">
        <f>(#REF!/O8)-1</f>
        <v>#REF!</v>
      </c>
      <c r="R8" s="30" t="s">
        <v>4</v>
      </c>
    </row>
    <row r="9" spans="1:19" ht="28.5" customHeight="1" x14ac:dyDescent="0.2">
      <c r="A9" s="26">
        <f>+A8+1</f>
        <v>2</v>
      </c>
      <c r="B9" s="27" t="s">
        <v>45</v>
      </c>
      <c r="C9" s="28" t="s">
        <v>87</v>
      </c>
      <c r="D9" s="29">
        <v>2</v>
      </c>
      <c r="E9" s="53">
        <v>0</v>
      </c>
      <c r="F9" s="53">
        <v>0</v>
      </c>
      <c r="G9" s="54">
        <f t="shared" si="0"/>
        <v>0</v>
      </c>
      <c r="H9" s="55">
        <v>0</v>
      </c>
      <c r="I9" s="56">
        <v>0</v>
      </c>
      <c r="J9" s="57"/>
      <c r="K9" s="57"/>
      <c r="L9" s="57">
        <f t="shared" si="1"/>
        <v>0</v>
      </c>
      <c r="M9" s="57">
        <f t="shared" si="2"/>
        <v>0</v>
      </c>
      <c r="N9" s="57"/>
      <c r="O9" s="57">
        <v>7022.24</v>
      </c>
      <c r="P9" s="31">
        <f t="shared" si="3"/>
        <v>-7022.24</v>
      </c>
      <c r="Q9" s="32" t="e">
        <f>(#REF!/O9)-1</f>
        <v>#REF!</v>
      </c>
      <c r="R9" s="30" t="s">
        <v>5</v>
      </c>
    </row>
    <row r="10" spans="1:19" s="34" customFormat="1" ht="28.5" customHeight="1" x14ac:dyDescent="0.2">
      <c r="A10" s="26">
        <f t="shared" ref="A10:A24" si="4">+A9+1</f>
        <v>3</v>
      </c>
      <c r="B10" s="27" t="s">
        <v>46</v>
      </c>
      <c r="C10" s="33" t="s">
        <v>88</v>
      </c>
      <c r="D10" s="29">
        <v>18</v>
      </c>
      <c r="E10" s="53">
        <v>5</v>
      </c>
      <c r="F10" s="53">
        <v>5</v>
      </c>
      <c r="G10" s="54">
        <f t="shared" si="0"/>
        <v>0</v>
      </c>
      <c r="H10" s="55">
        <v>0</v>
      </c>
      <c r="I10" s="56">
        <v>0</v>
      </c>
      <c r="J10" s="57"/>
      <c r="K10" s="57"/>
      <c r="L10" s="57">
        <f t="shared" si="1"/>
        <v>0</v>
      </c>
      <c r="M10" s="57">
        <f t="shared" si="2"/>
        <v>0</v>
      </c>
      <c r="N10" s="57"/>
      <c r="O10" s="57">
        <v>4086.44</v>
      </c>
      <c r="P10" s="31">
        <f t="shared" si="3"/>
        <v>-4086.44</v>
      </c>
      <c r="Q10" s="32" t="e">
        <f>(#REF!/O10)-1</f>
        <v>#REF!</v>
      </c>
      <c r="R10" s="30" t="s">
        <v>6</v>
      </c>
      <c r="S10" s="24"/>
    </row>
    <row r="11" spans="1:19" ht="28.5" customHeight="1" x14ac:dyDescent="0.2">
      <c r="A11" s="26">
        <f t="shared" si="4"/>
        <v>4</v>
      </c>
      <c r="B11" s="27" t="s">
        <v>47</v>
      </c>
      <c r="C11" s="28" t="s">
        <v>43</v>
      </c>
      <c r="D11" s="29">
        <v>4</v>
      </c>
      <c r="E11" s="53">
        <v>0</v>
      </c>
      <c r="F11" s="53">
        <v>0</v>
      </c>
      <c r="G11" s="54">
        <f>F11-E11</f>
        <v>0</v>
      </c>
      <c r="H11" s="55">
        <v>0</v>
      </c>
      <c r="I11" s="56">
        <v>0</v>
      </c>
      <c r="J11" s="57"/>
      <c r="K11" s="57"/>
      <c r="L11" s="57">
        <f t="shared" si="1"/>
        <v>0</v>
      </c>
      <c r="M11" s="57">
        <f t="shared" si="2"/>
        <v>0</v>
      </c>
      <c r="N11" s="57"/>
      <c r="O11" s="57">
        <v>5440.22</v>
      </c>
      <c r="P11" s="31">
        <f t="shared" si="3"/>
        <v>-5440.22</v>
      </c>
      <c r="Q11" s="32" t="e">
        <f>(#REF!/O11)-1</f>
        <v>#REF!</v>
      </c>
      <c r="R11" s="30" t="s">
        <v>7</v>
      </c>
    </row>
    <row r="12" spans="1:19" ht="28.5" customHeight="1" x14ac:dyDescent="0.2">
      <c r="A12" s="26">
        <f t="shared" si="4"/>
        <v>5</v>
      </c>
      <c r="B12" s="27" t="s">
        <v>48</v>
      </c>
      <c r="C12" s="28" t="s">
        <v>89</v>
      </c>
      <c r="D12" s="29">
        <v>2200</v>
      </c>
      <c r="E12" s="53">
        <v>1812</v>
      </c>
      <c r="F12" s="53">
        <v>1812</v>
      </c>
      <c r="G12" s="54">
        <f t="shared" si="0"/>
        <v>0</v>
      </c>
      <c r="H12" s="55">
        <f>(F12/E12)-1</f>
        <v>0</v>
      </c>
      <c r="I12" s="56">
        <v>0</v>
      </c>
      <c r="J12" s="57"/>
      <c r="K12" s="57"/>
      <c r="L12" s="57">
        <f t="shared" si="1"/>
        <v>0</v>
      </c>
      <c r="M12" s="57">
        <f t="shared" si="2"/>
        <v>0</v>
      </c>
      <c r="N12" s="57"/>
      <c r="O12" s="57">
        <v>32980.78</v>
      </c>
      <c r="P12" s="31">
        <f t="shared" si="3"/>
        <v>-32980.78</v>
      </c>
      <c r="Q12" s="32" t="e">
        <f>(#REF!/O12)-1</f>
        <v>#REF!</v>
      </c>
      <c r="R12" s="30" t="s">
        <v>8</v>
      </c>
    </row>
    <row r="13" spans="1:19" s="34" customFormat="1" ht="28.5" customHeight="1" x14ac:dyDescent="0.2">
      <c r="A13" s="26">
        <f t="shared" si="4"/>
        <v>6</v>
      </c>
      <c r="B13" s="27" t="s">
        <v>50</v>
      </c>
      <c r="C13" s="33" t="s">
        <v>51</v>
      </c>
      <c r="D13" s="29">
        <v>1183</v>
      </c>
      <c r="E13" s="53">
        <v>116</v>
      </c>
      <c r="F13" s="53">
        <v>116</v>
      </c>
      <c r="G13" s="54">
        <f t="shared" si="0"/>
        <v>0</v>
      </c>
      <c r="H13" s="55">
        <f t="shared" ref="H13:H17" si="5">(F13/E13)-1</f>
        <v>0</v>
      </c>
      <c r="I13" s="56">
        <v>0</v>
      </c>
      <c r="J13" s="57"/>
      <c r="K13" s="57"/>
      <c r="L13" s="57">
        <f t="shared" si="1"/>
        <v>0</v>
      </c>
      <c r="M13" s="57">
        <f t="shared" si="2"/>
        <v>0</v>
      </c>
      <c r="N13" s="57"/>
      <c r="O13" s="57">
        <v>4630.8599999999997</v>
      </c>
      <c r="P13" s="31">
        <f t="shared" si="3"/>
        <v>-4630.8599999999997</v>
      </c>
      <c r="Q13" s="32" t="e">
        <f>(#REF!/O13)-1</f>
        <v>#REF!</v>
      </c>
      <c r="R13" s="30" t="s">
        <v>9</v>
      </c>
      <c r="S13" s="24"/>
    </row>
    <row r="14" spans="1:19" s="34" customFormat="1" ht="28.5" customHeight="1" x14ac:dyDescent="0.2">
      <c r="A14" s="26">
        <f t="shared" si="4"/>
        <v>7</v>
      </c>
      <c r="B14" s="27" t="s">
        <v>52</v>
      </c>
      <c r="C14" s="28" t="s">
        <v>90</v>
      </c>
      <c r="D14" s="29">
        <v>6734</v>
      </c>
      <c r="E14" s="53">
        <v>2614</v>
      </c>
      <c r="F14" s="53">
        <v>2614</v>
      </c>
      <c r="G14" s="54">
        <f t="shared" si="0"/>
        <v>0</v>
      </c>
      <c r="H14" s="55">
        <f t="shared" si="5"/>
        <v>0</v>
      </c>
      <c r="I14" s="56">
        <v>0</v>
      </c>
      <c r="J14" s="57"/>
      <c r="K14" s="57"/>
      <c r="L14" s="57">
        <f t="shared" si="1"/>
        <v>0</v>
      </c>
      <c r="M14" s="57">
        <f t="shared" si="2"/>
        <v>0</v>
      </c>
      <c r="N14" s="57"/>
      <c r="O14" s="57">
        <v>4231.6000000000004</v>
      </c>
      <c r="P14" s="31">
        <f t="shared" si="3"/>
        <v>-4231.6000000000004</v>
      </c>
      <c r="Q14" s="32" t="e">
        <f>(#REF!/O14)-1</f>
        <v>#REF!</v>
      </c>
      <c r="R14" s="30" t="s">
        <v>10</v>
      </c>
      <c r="S14" s="24"/>
    </row>
    <row r="15" spans="1:19" s="34" customFormat="1" ht="28.5" customHeight="1" x14ac:dyDescent="0.2">
      <c r="A15" s="26">
        <f t="shared" si="4"/>
        <v>8</v>
      </c>
      <c r="B15" s="27" t="s">
        <v>53</v>
      </c>
      <c r="C15" s="28" t="s">
        <v>54</v>
      </c>
      <c r="D15" s="29">
        <v>36</v>
      </c>
      <c r="E15" s="53">
        <v>6</v>
      </c>
      <c r="F15" s="53">
        <v>6</v>
      </c>
      <c r="G15" s="54">
        <f t="shared" si="0"/>
        <v>0</v>
      </c>
      <c r="H15" s="55">
        <f t="shared" si="5"/>
        <v>0</v>
      </c>
      <c r="I15" s="56">
        <v>0</v>
      </c>
      <c r="J15" s="57"/>
      <c r="K15" s="57"/>
      <c r="L15" s="57">
        <f t="shared" si="1"/>
        <v>0</v>
      </c>
      <c r="M15" s="57">
        <f t="shared" si="2"/>
        <v>0</v>
      </c>
      <c r="N15" s="57"/>
      <c r="O15" s="57">
        <v>3743.1</v>
      </c>
      <c r="P15" s="31">
        <f t="shared" si="3"/>
        <v>-3743.1</v>
      </c>
      <c r="Q15" s="32" t="e">
        <f>(#REF!/O15)-1</f>
        <v>#REF!</v>
      </c>
      <c r="R15" s="30" t="s">
        <v>11</v>
      </c>
      <c r="S15" s="24"/>
    </row>
    <row r="16" spans="1:19" ht="28.5" customHeight="1" x14ac:dyDescent="0.2">
      <c r="A16" s="26">
        <f t="shared" si="4"/>
        <v>9</v>
      </c>
      <c r="B16" s="27" t="s">
        <v>56</v>
      </c>
      <c r="C16" s="28" t="s">
        <v>57</v>
      </c>
      <c r="D16" s="29">
        <v>10</v>
      </c>
      <c r="E16" s="53">
        <v>2</v>
      </c>
      <c r="F16" s="53">
        <v>2</v>
      </c>
      <c r="G16" s="54">
        <f t="shared" si="0"/>
        <v>0</v>
      </c>
      <c r="H16" s="55">
        <f t="shared" si="5"/>
        <v>0</v>
      </c>
      <c r="I16" s="56">
        <v>0</v>
      </c>
      <c r="J16" s="57"/>
      <c r="K16" s="57"/>
      <c r="L16" s="57">
        <f t="shared" si="1"/>
        <v>0</v>
      </c>
      <c r="M16" s="57">
        <f t="shared" si="2"/>
        <v>0</v>
      </c>
      <c r="N16" s="57"/>
      <c r="O16" s="57">
        <v>6572</v>
      </c>
      <c r="P16" s="31">
        <f t="shared" si="3"/>
        <v>-6572</v>
      </c>
      <c r="Q16" s="32" t="e">
        <f>(#REF!/O16)-1</f>
        <v>#REF!</v>
      </c>
      <c r="R16" s="30" t="s">
        <v>13</v>
      </c>
    </row>
    <row r="17" spans="1:19" s="34" customFormat="1" ht="28.5" customHeight="1" x14ac:dyDescent="0.2">
      <c r="A17" s="26">
        <f t="shared" si="4"/>
        <v>10</v>
      </c>
      <c r="B17" s="27" t="s">
        <v>55</v>
      </c>
      <c r="C17" s="28" t="s">
        <v>91</v>
      </c>
      <c r="D17" s="29">
        <v>6</v>
      </c>
      <c r="E17" s="53">
        <v>1</v>
      </c>
      <c r="F17" s="53">
        <v>1</v>
      </c>
      <c r="G17" s="54">
        <f t="shared" si="0"/>
        <v>0</v>
      </c>
      <c r="H17" s="55">
        <f t="shared" si="5"/>
        <v>0</v>
      </c>
      <c r="I17" s="56">
        <v>0</v>
      </c>
      <c r="J17" s="57"/>
      <c r="K17" s="57"/>
      <c r="L17" s="57">
        <f t="shared" si="1"/>
        <v>0</v>
      </c>
      <c r="M17" s="57">
        <f t="shared" si="2"/>
        <v>0</v>
      </c>
      <c r="N17" s="57"/>
      <c r="O17" s="57">
        <v>1640.22</v>
      </c>
      <c r="P17" s="31">
        <f t="shared" si="3"/>
        <v>-1640.22</v>
      </c>
      <c r="Q17" s="32" t="e">
        <f>(#REF!/O17)-1</f>
        <v>#REF!</v>
      </c>
      <c r="R17" s="30" t="s">
        <v>12</v>
      </c>
      <c r="S17" s="24"/>
    </row>
    <row r="18" spans="1:19" ht="28.5" customHeight="1" x14ac:dyDescent="0.2">
      <c r="A18" s="26">
        <f t="shared" si="4"/>
        <v>11</v>
      </c>
      <c r="B18" s="27" t="s">
        <v>42</v>
      </c>
      <c r="C18" s="28" t="s">
        <v>43</v>
      </c>
      <c r="D18" s="29">
        <v>4</v>
      </c>
      <c r="E18" s="53">
        <v>0</v>
      </c>
      <c r="F18" s="53">
        <v>0</v>
      </c>
      <c r="G18" s="54">
        <f t="shared" si="0"/>
        <v>0</v>
      </c>
      <c r="H18" s="55">
        <v>0</v>
      </c>
      <c r="I18" s="56">
        <v>0</v>
      </c>
      <c r="J18" s="57"/>
      <c r="K18" s="57"/>
      <c r="L18" s="57">
        <f t="shared" si="1"/>
        <v>0</v>
      </c>
      <c r="M18" s="57">
        <f t="shared" si="2"/>
        <v>0</v>
      </c>
      <c r="N18" s="57"/>
      <c r="O18" s="57">
        <v>29595.56</v>
      </c>
      <c r="P18" s="31">
        <f t="shared" si="3"/>
        <v>-29595.56</v>
      </c>
      <c r="Q18" s="32" t="e">
        <f>(#REF!/O18)-1</f>
        <v>#REF!</v>
      </c>
      <c r="R18" s="30" t="s">
        <v>3</v>
      </c>
    </row>
    <row r="19" spans="1:19" s="34" customFormat="1" ht="28.5" customHeight="1" x14ac:dyDescent="0.2">
      <c r="A19" s="26">
        <f t="shared" si="4"/>
        <v>12</v>
      </c>
      <c r="B19" s="27" t="s">
        <v>61</v>
      </c>
      <c r="C19" s="28" t="s">
        <v>62</v>
      </c>
      <c r="D19" s="29">
        <v>147</v>
      </c>
      <c r="E19" s="53">
        <v>32</v>
      </c>
      <c r="F19" s="53">
        <v>32</v>
      </c>
      <c r="G19" s="54">
        <f t="shared" si="0"/>
        <v>0</v>
      </c>
      <c r="H19" s="55">
        <f>(F19/E19)-1</f>
        <v>0</v>
      </c>
      <c r="I19" s="56">
        <v>0</v>
      </c>
      <c r="J19" s="57"/>
      <c r="K19" s="57"/>
      <c r="L19" s="57">
        <f t="shared" si="1"/>
        <v>0</v>
      </c>
      <c r="M19" s="57">
        <f t="shared" si="2"/>
        <v>0</v>
      </c>
      <c r="N19" s="57"/>
      <c r="O19" s="57">
        <v>14089.84</v>
      </c>
      <c r="P19" s="31">
        <f t="shared" si="3"/>
        <v>-14089.84</v>
      </c>
      <c r="Q19" s="32" t="e">
        <f>(#REF!/O19)-1</f>
        <v>#REF!</v>
      </c>
      <c r="R19" s="35" t="s">
        <v>16</v>
      </c>
      <c r="S19" s="24"/>
    </row>
    <row r="20" spans="1:19" ht="28.5" customHeight="1" x14ac:dyDescent="0.2">
      <c r="A20" s="26">
        <f t="shared" si="4"/>
        <v>13</v>
      </c>
      <c r="B20" s="27" t="s">
        <v>58</v>
      </c>
      <c r="C20" s="28" t="s">
        <v>92</v>
      </c>
      <c r="D20" s="29">
        <v>38</v>
      </c>
      <c r="E20" s="53">
        <v>3</v>
      </c>
      <c r="F20" s="53">
        <v>3</v>
      </c>
      <c r="G20" s="54">
        <f t="shared" ref="G20:G24" si="6">F20-E20</f>
        <v>0</v>
      </c>
      <c r="H20" s="55">
        <f t="shared" ref="H20:H24" si="7">(F20/E20)-1</f>
        <v>0</v>
      </c>
      <c r="I20" s="56">
        <v>0</v>
      </c>
      <c r="J20" s="57"/>
      <c r="K20" s="57"/>
      <c r="L20" s="57">
        <f t="shared" ref="L20:L25" si="8">SUM(J20:K20)</f>
        <v>0</v>
      </c>
      <c r="M20" s="57">
        <f t="shared" ref="M20:M24" si="9">L20</f>
        <v>0</v>
      </c>
      <c r="N20" s="57"/>
      <c r="O20" s="57">
        <v>7724</v>
      </c>
      <c r="P20" s="31">
        <f t="shared" ref="P20:P25" si="10">+N20-O20</f>
        <v>-7724</v>
      </c>
      <c r="Q20" s="32" t="e">
        <f>(#REF!/O20)-1</f>
        <v>#REF!</v>
      </c>
      <c r="R20" s="30" t="s">
        <v>14</v>
      </c>
    </row>
    <row r="21" spans="1:19" s="34" customFormat="1" ht="28.5" customHeight="1" x14ac:dyDescent="0.2">
      <c r="A21" s="26">
        <f t="shared" si="4"/>
        <v>14</v>
      </c>
      <c r="B21" s="27" t="s">
        <v>63</v>
      </c>
      <c r="C21" s="28" t="s">
        <v>93</v>
      </c>
      <c r="D21" s="29">
        <v>38</v>
      </c>
      <c r="E21" s="53">
        <v>7</v>
      </c>
      <c r="F21" s="53">
        <v>7</v>
      </c>
      <c r="G21" s="54">
        <f>F21-E21</f>
        <v>0</v>
      </c>
      <c r="H21" s="55">
        <f>(F21/E21)-1</f>
        <v>0</v>
      </c>
      <c r="I21" s="56">
        <v>0</v>
      </c>
      <c r="J21" s="57"/>
      <c r="K21" s="57"/>
      <c r="L21" s="57">
        <f>SUM(J21:K21)</f>
        <v>0</v>
      </c>
      <c r="M21" s="57">
        <f>L21</f>
        <v>0</v>
      </c>
      <c r="N21" s="57"/>
      <c r="O21" s="57">
        <v>971801.72</v>
      </c>
      <c r="P21" s="31">
        <f>+N21-O21</f>
        <v>-971801.72</v>
      </c>
      <c r="Q21" s="32" t="e">
        <f>(#REF!/O21)-1</f>
        <v>#REF!</v>
      </c>
      <c r="R21" s="35" t="s">
        <v>17</v>
      </c>
      <c r="S21" s="24"/>
    </row>
    <row r="22" spans="1:19" s="34" customFormat="1" ht="28.5" customHeight="1" x14ac:dyDescent="0.2">
      <c r="A22" s="26">
        <f t="shared" si="4"/>
        <v>15</v>
      </c>
      <c r="B22" s="36" t="s">
        <v>65</v>
      </c>
      <c r="C22" s="37" t="s">
        <v>66</v>
      </c>
      <c r="D22" s="29">
        <v>1</v>
      </c>
      <c r="E22" s="58">
        <v>0.125</v>
      </c>
      <c r="F22" s="58">
        <v>0.125</v>
      </c>
      <c r="G22" s="54">
        <f>F22-E22</f>
        <v>0</v>
      </c>
      <c r="H22" s="55">
        <f>(F22/E22)-1</f>
        <v>0</v>
      </c>
      <c r="I22" s="56">
        <v>0</v>
      </c>
      <c r="J22" s="59"/>
      <c r="K22" s="60"/>
      <c r="L22" s="57">
        <f>SUM(J22:K22)</f>
        <v>0</v>
      </c>
      <c r="M22" s="57">
        <f>L22</f>
        <v>0</v>
      </c>
      <c r="N22" s="57"/>
      <c r="O22" s="57">
        <v>11938372.48</v>
      </c>
      <c r="P22" s="31">
        <f>+N22-O22</f>
        <v>-11938372.48</v>
      </c>
      <c r="Q22" s="32" t="e">
        <f>(#REF!/O22)-1</f>
        <v>#REF!</v>
      </c>
      <c r="R22" s="30" t="s">
        <v>19</v>
      </c>
      <c r="S22" s="24"/>
    </row>
    <row r="23" spans="1:19" s="34" customFormat="1" ht="28.5" customHeight="1" x14ac:dyDescent="0.2">
      <c r="A23" s="26">
        <f t="shared" si="4"/>
        <v>16</v>
      </c>
      <c r="B23" s="27" t="s">
        <v>59</v>
      </c>
      <c r="C23" s="33" t="s">
        <v>60</v>
      </c>
      <c r="D23" s="29">
        <v>3</v>
      </c>
      <c r="E23" s="53">
        <v>0</v>
      </c>
      <c r="F23" s="53">
        <v>0</v>
      </c>
      <c r="G23" s="54">
        <f t="shared" si="6"/>
        <v>0</v>
      </c>
      <c r="H23" s="55">
        <v>0</v>
      </c>
      <c r="I23" s="56">
        <v>0</v>
      </c>
      <c r="J23" s="57"/>
      <c r="K23" s="57"/>
      <c r="L23" s="57">
        <f t="shared" si="8"/>
        <v>0</v>
      </c>
      <c r="M23" s="57">
        <f t="shared" si="9"/>
        <v>0</v>
      </c>
      <c r="N23" s="57"/>
      <c r="O23" s="57">
        <v>365357.88</v>
      </c>
      <c r="P23" s="31">
        <f t="shared" si="10"/>
        <v>-365357.88</v>
      </c>
      <c r="Q23" s="32" t="e">
        <f>(#REF!/O23)-1</f>
        <v>#REF!</v>
      </c>
      <c r="R23" s="30" t="s">
        <v>15</v>
      </c>
      <c r="S23" s="24"/>
    </row>
    <row r="24" spans="1:19" s="34" customFormat="1" ht="28.5" customHeight="1" x14ac:dyDescent="0.2">
      <c r="A24" s="26">
        <f t="shared" si="4"/>
        <v>17</v>
      </c>
      <c r="B24" s="36" t="s">
        <v>64</v>
      </c>
      <c r="C24" s="37" t="s">
        <v>94</v>
      </c>
      <c r="D24" s="29">
        <v>57</v>
      </c>
      <c r="E24" s="53">
        <v>15</v>
      </c>
      <c r="F24" s="53">
        <v>15</v>
      </c>
      <c r="G24" s="54">
        <f t="shared" si="6"/>
        <v>0</v>
      </c>
      <c r="H24" s="55">
        <f t="shared" si="7"/>
        <v>0</v>
      </c>
      <c r="I24" s="56">
        <v>0</v>
      </c>
      <c r="J24" s="57"/>
      <c r="K24" s="57"/>
      <c r="L24" s="57">
        <f t="shared" si="8"/>
        <v>0</v>
      </c>
      <c r="M24" s="57">
        <f t="shared" si="9"/>
        <v>0</v>
      </c>
      <c r="N24" s="57"/>
      <c r="O24" s="57">
        <v>6339.78</v>
      </c>
      <c r="P24" s="31">
        <f t="shared" si="10"/>
        <v>-6339.78</v>
      </c>
      <c r="Q24" s="32" t="e">
        <f>(#REF!/O24)-1</f>
        <v>#REF!</v>
      </c>
      <c r="R24" s="30" t="s">
        <v>18</v>
      </c>
      <c r="S24" s="24"/>
    </row>
    <row r="25" spans="1:19" s="45" customFormat="1" ht="30" customHeight="1" x14ac:dyDescent="0.2">
      <c r="A25" s="236" t="s">
        <v>1</v>
      </c>
      <c r="B25" s="237"/>
      <c r="C25" s="238"/>
      <c r="D25" s="38">
        <f>SUM(D18:D24)</f>
        <v>288</v>
      </c>
      <c r="E25" s="39">
        <f>SUM(E18:E24)</f>
        <v>57.125</v>
      </c>
      <c r="F25" s="39">
        <f>SUM(F18:F24)</f>
        <v>57.125</v>
      </c>
      <c r="G25" s="38">
        <f>F25-E25</f>
        <v>0</v>
      </c>
      <c r="H25" s="40">
        <f>(F25/E25)-1</f>
        <v>0</v>
      </c>
      <c r="I25" s="41">
        <f>SUM(I18:I24)</f>
        <v>0</v>
      </c>
      <c r="J25" s="41">
        <f>SUM(J18:J24)</f>
        <v>0</v>
      </c>
      <c r="K25" s="41">
        <f>SUM(K18:K24)</f>
        <v>0</v>
      </c>
      <c r="L25" s="41">
        <f t="shared" si="8"/>
        <v>0</v>
      </c>
      <c r="M25" s="41">
        <f>SUM(M18:M24)</f>
        <v>0</v>
      </c>
      <c r="N25" s="41"/>
      <c r="O25" s="41">
        <f>SUM(O18:O24)</f>
        <v>13333281.26</v>
      </c>
      <c r="P25" s="41">
        <f t="shared" si="10"/>
        <v>-13333281.26</v>
      </c>
      <c r="Q25" s="43" t="e">
        <f>(#REF!/O25)-1</f>
        <v>#REF!</v>
      </c>
      <c r="R25" s="44"/>
    </row>
    <row r="26" spans="1:19" s="50" customFormat="1" ht="8.25" customHeight="1" x14ac:dyDescent="0.2">
      <c r="A26" s="46"/>
      <c r="B26" s="46"/>
      <c r="C26" s="46"/>
      <c r="D26" s="46"/>
      <c r="E26" s="46"/>
      <c r="F26" s="46"/>
      <c r="G26" s="46"/>
      <c r="H26" s="47"/>
      <c r="I26" s="48"/>
      <c r="J26" s="48"/>
      <c r="K26" s="48"/>
      <c r="L26" s="48"/>
      <c r="M26" s="48"/>
      <c r="N26" s="48"/>
      <c r="O26" s="48"/>
      <c r="P26" s="48"/>
      <c r="Q26" s="49"/>
      <c r="R26" s="48"/>
    </row>
    <row r="27" spans="1:19" ht="12.75" customHeight="1" x14ac:dyDescent="0.2">
      <c r="A27" s="234"/>
      <c r="B27" s="235"/>
      <c r="C27" s="235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</row>
    <row r="28" spans="1:19" x14ac:dyDescent="0.2">
      <c r="A28" s="235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</row>
    <row r="29" spans="1:19" x14ac:dyDescent="0.2">
      <c r="O29" s="52"/>
      <c r="P29" s="52"/>
    </row>
    <row r="30" spans="1:19" x14ac:dyDescent="0.2">
      <c r="O30" s="52"/>
    </row>
  </sheetData>
  <mergeCells count="23">
    <mergeCell ref="A1:Q1"/>
    <mergeCell ref="A2:Q2"/>
    <mergeCell ref="A3:Q3"/>
    <mergeCell ref="A5:A7"/>
    <mergeCell ref="B5:B7"/>
    <mergeCell ref="C5:C7"/>
    <mergeCell ref="D5:H5"/>
    <mergeCell ref="I5:R5"/>
    <mergeCell ref="D6:D7"/>
    <mergeCell ref="E6:E7"/>
    <mergeCell ref="A27:R28"/>
    <mergeCell ref="M6:M7"/>
    <mergeCell ref="N6:N7"/>
    <mergeCell ref="O6:O7"/>
    <mergeCell ref="P6:Q6"/>
    <mergeCell ref="R6:R7"/>
    <mergeCell ref="A25:C25"/>
    <mergeCell ref="F6:F7"/>
    <mergeCell ref="G6:H6"/>
    <mergeCell ref="I6:I7"/>
    <mergeCell ref="J6:J7"/>
    <mergeCell ref="K6:K7"/>
    <mergeCell ref="L6:L7"/>
  </mergeCells>
  <printOptions horizontalCentered="1"/>
  <pageMargins left="0" right="0" top="0.78740157480314965" bottom="3.937007874015748E-2" header="0.19685039370078741" footer="0.15748031496062992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0"/>
  <sheetViews>
    <sheetView topLeftCell="B1" workbookViewId="0">
      <selection activeCell="E11" sqref="E11"/>
    </sheetView>
  </sheetViews>
  <sheetFormatPr baseColWidth="10" defaultRowHeight="12.75" x14ac:dyDescent="0.2"/>
  <cols>
    <col min="1" max="1" width="5.28515625" style="51" customWidth="1"/>
    <col min="2" max="2" width="25.42578125" style="51" customWidth="1"/>
    <col min="3" max="3" width="15.5703125" style="51" customWidth="1"/>
    <col min="4" max="4" width="9.28515625" style="51" customWidth="1"/>
    <col min="5" max="5" width="12" style="51" customWidth="1"/>
    <col min="6" max="6" width="12.140625" style="51" customWidth="1"/>
    <col min="7" max="7" width="10.7109375" style="51" customWidth="1"/>
    <col min="8" max="8" width="10.42578125" style="51" customWidth="1"/>
    <col min="9" max="9" width="10.5703125" style="51" customWidth="1"/>
    <col min="10" max="10" width="12.5703125" style="51" customWidth="1"/>
    <col min="11" max="11" width="12" style="51" customWidth="1"/>
    <col min="12" max="12" width="12.28515625" style="51" customWidth="1"/>
    <col min="13" max="13" width="14.140625" style="51" hidden="1" customWidth="1"/>
    <col min="14" max="14" width="12.42578125" style="51" customWidth="1"/>
    <col min="15" max="15" width="11.28515625" style="51" customWidth="1"/>
    <col min="16" max="16" width="10.140625" style="51" hidden="1" customWidth="1"/>
    <col min="17" max="17" width="9.7109375" style="51" hidden="1" customWidth="1"/>
    <col min="18" max="18" width="8.85546875" style="24" bestFit="1" customWidth="1"/>
    <col min="19" max="208" width="11.42578125" style="24"/>
    <col min="209" max="209" width="5.28515625" style="24" customWidth="1"/>
    <col min="210" max="210" width="25.42578125" style="24" customWidth="1"/>
    <col min="211" max="211" width="14" style="24" customWidth="1"/>
    <col min="212" max="212" width="9.28515625" style="24" customWidth="1"/>
    <col min="213" max="213" width="12" style="24" customWidth="1"/>
    <col min="214" max="214" width="12.140625" style="24" customWidth="1"/>
    <col min="215" max="215" width="10.7109375" style="24" customWidth="1"/>
    <col min="216" max="216" width="10.42578125" style="24" customWidth="1"/>
    <col min="217" max="217" width="10.5703125" style="24" customWidth="1"/>
    <col min="218" max="218" width="12.5703125" style="24" customWidth="1"/>
    <col min="219" max="219" width="12" style="24" customWidth="1"/>
    <col min="220" max="220" width="12.28515625" style="24" customWidth="1"/>
    <col min="221" max="221" width="0" style="24" hidden="1" customWidth="1"/>
    <col min="222" max="222" width="12.42578125" style="24" customWidth="1"/>
    <col min="223" max="223" width="11.28515625" style="24" customWidth="1"/>
    <col min="224" max="225" width="0" style="24" hidden="1" customWidth="1"/>
    <col min="226" max="226" width="8.85546875" style="24" bestFit="1" customWidth="1"/>
    <col min="227" max="464" width="11.42578125" style="24"/>
    <col min="465" max="465" width="5.28515625" style="24" customWidth="1"/>
    <col min="466" max="466" width="25.42578125" style="24" customWidth="1"/>
    <col min="467" max="467" width="14" style="24" customWidth="1"/>
    <col min="468" max="468" width="9.28515625" style="24" customWidth="1"/>
    <col min="469" max="469" width="12" style="24" customWidth="1"/>
    <col min="470" max="470" width="12.140625" style="24" customWidth="1"/>
    <col min="471" max="471" width="10.7109375" style="24" customWidth="1"/>
    <col min="472" max="472" width="10.42578125" style="24" customWidth="1"/>
    <col min="473" max="473" width="10.5703125" style="24" customWidth="1"/>
    <col min="474" max="474" width="12.5703125" style="24" customWidth="1"/>
    <col min="475" max="475" width="12" style="24" customWidth="1"/>
    <col min="476" max="476" width="12.28515625" style="24" customWidth="1"/>
    <col min="477" max="477" width="0" style="24" hidden="1" customWidth="1"/>
    <col min="478" max="478" width="12.42578125" style="24" customWidth="1"/>
    <col min="479" max="479" width="11.28515625" style="24" customWidth="1"/>
    <col min="480" max="481" width="0" style="24" hidden="1" customWidth="1"/>
    <col min="482" max="482" width="8.85546875" style="24" bestFit="1" customWidth="1"/>
    <col min="483" max="720" width="11.42578125" style="24"/>
    <col min="721" max="721" width="5.28515625" style="24" customWidth="1"/>
    <col min="722" max="722" width="25.42578125" style="24" customWidth="1"/>
    <col min="723" max="723" width="14" style="24" customWidth="1"/>
    <col min="724" max="724" width="9.28515625" style="24" customWidth="1"/>
    <col min="725" max="725" width="12" style="24" customWidth="1"/>
    <col min="726" max="726" width="12.140625" style="24" customWidth="1"/>
    <col min="727" max="727" width="10.7109375" style="24" customWidth="1"/>
    <col min="728" max="728" width="10.42578125" style="24" customWidth="1"/>
    <col min="729" max="729" width="10.5703125" style="24" customWidth="1"/>
    <col min="730" max="730" width="12.5703125" style="24" customWidth="1"/>
    <col min="731" max="731" width="12" style="24" customWidth="1"/>
    <col min="732" max="732" width="12.28515625" style="24" customWidth="1"/>
    <col min="733" max="733" width="0" style="24" hidden="1" customWidth="1"/>
    <col min="734" max="734" width="12.42578125" style="24" customWidth="1"/>
    <col min="735" max="735" width="11.28515625" style="24" customWidth="1"/>
    <col min="736" max="737" width="0" style="24" hidden="1" customWidth="1"/>
    <col min="738" max="738" width="8.85546875" style="24" bestFit="1" customWidth="1"/>
    <col min="739" max="976" width="11.42578125" style="24"/>
    <col min="977" max="977" width="5.28515625" style="24" customWidth="1"/>
    <col min="978" max="978" width="25.42578125" style="24" customWidth="1"/>
    <col min="979" max="979" width="14" style="24" customWidth="1"/>
    <col min="980" max="980" width="9.28515625" style="24" customWidth="1"/>
    <col min="981" max="981" width="12" style="24" customWidth="1"/>
    <col min="982" max="982" width="12.140625" style="24" customWidth="1"/>
    <col min="983" max="983" width="10.7109375" style="24" customWidth="1"/>
    <col min="984" max="984" width="10.42578125" style="24" customWidth="1"/>
    <col min="985" max="985" width="10.5703125" style="24" customWidth="1"/>
    <col min="986" max="986" width="12.5703125" style="24" customWidth="1"/>
    <col min="987" max="987" width="12" style="24" customWidth="1"/>
    <col min="988" max="988" width="12.28515625" style="24" customWidth="1"/>
    <col min="989" max="989" width="0" style="24" hidden="1" customWidth="1"/>
    <col min="990" max="990" width="12.42578125" style="24" customWidth="1"/>
    <col min="991" max="991" width="11.28515625" style="24" customWidth="1"/>
    <col min="992" max="993" width="0" style="24" hidden="1" customWidth="1"/>
    <col min="994" max="994" width="8.85546875" style="24" bestFit="1" customWidth="1"/>
    <col min="995" max="1232" width="11.42578125" style="24"/>
    <col min="1233" max="1233" width="5.28515625" style="24" customWidth="1"/>
    <col min="1234" max="1234" width="25.42578125" style="24" customWidth="1"/>
    <col min="1235" max="1235" width="14" style="24" customWidth="1"/>
    <col min="1236" max="1236" width="9.28515625" style="24" customWidth="1"/>
    <col min="1237" max="1237" width="12" style="24" customWidth="1"/>
    <col min="1238" max="1238" width="12.140625" style="24" customWidth="1"/>
    <col min="1239" max="1239" width="10.7109375" style="24" customWidth="1"/>
    <col min="1240" max="1240" width="10.42578125" style="24" customWidth="1"/>
    <col min="1241" max="1241" width="10.5703125" style="24" customWidth="1"/>
    <col min="1242" max="1242" width="12.5703125" style="24" customWidth="1"/>
    <col min="1243" max="1243" width="12" style="24" customWidth="1"/>
    <col min="1244" max="1244" width="12.28515625" style="24" customWidth="1"/>
    <col min="1245" max="1245" width="0" style="24" hidden="1" customWidth="1"/>
    <col min="1246" max="1246" width="12.42578125" style="24" customWidth="1"/>
    <col min="1247" max="1247" width="11.28515625" style="24" customWidth="1"/>
    <col min="1248" max="1249" width="0" style="24" hidden="1" customWidth="1"/>
    <col min="1250" max="1250" width="8.85546875" style="24" bestFit="1" customWidth="1"/>
    <col min="1251" max="1488" width="11.42578125" style="24"/>
    <col min="1489" max="1489" width="5.28515625" style="24" customWidth="1"/>
    <col min="1490" max="1490" width="25.42578125" style="24" customWidth="1"/>
    <col min="1491" max="1491" width="14" style="24" customWidth="1"/>
    <col min="1492" max="1492" width="9.28515625" style="24" customWidth="1"/>
    <col min="1493" max="1493" width="12" style="24" customWidth="1"/>
    <col min="1494" max="1494" width="12.140625" style="24" customWidth="1"/>
    <col min="1495" max="1495" width="10.7109375" style="24" customWidth="1"/>
    <col min="1496" max="1496" width="10.42578125" style="24" customWidth="1"/>
    <col min="1497" max="1497" width="10.5703125" style="24" customWidth="1"/>
    <col min="1498" max="1498" width="12.5703125" style="24" customWidth="1"/>
    <col min="1499" max="1499" width="12" style="24" customWidth="1"/>
    <col min="1500" max="1500" width="12.28515625" style="24" customWidth="1"/>
    <col min="1501" max="1501" width="0" style="24" hidden="1" customWidth="1"/>
    <col min="1502" max="1502" width="12.42578125" style="24" customWidth="1"/>
    <col min="1503" max="1503" width="11.28515625" style="24" customWidth="1"/>
    <col min="1504" max="1505" width="0" style="24" hidden="1" customWidth="1"/>
    <col min="1506" max="1506" width="8.85546875" style="24" bestFit="1" customWidth="1"/>
    <col min="1507" max="1744" width="11.42578125" style="24"/>
    <col min="1745" max="1745" width="5.28515625" style="24" customWidth="1"/>
    <col min="1746" max="1746" width="25.42578125" style="24" customWidth="1"/>
    <col min="1747" max="1747" width="14" style="24" customWidth="1"/>
    <col min="1748" max="1748" width="9.28515625" style="24" customWidth="1"/>
    <col min="1749" max="1749" width="12" style="24" customWidth="1"/>
    <col min="1750" max="1750" width="12.140625" style="24" customWidth="1"/>
    <col min="1751" max="1751" width="10.7109375" style="24" customWidth="1"/>
    <col min="1752" max="1752" width="10.42578125" style="24" customWidth="1"/>
    <col min="1753" max="1753" width="10.5703125" style="24" customWidth="1"/>
    <col min="1754" max="1754" width="12.5703125" style="24" customWidth="1"/>
    <col min="1755" max="1755" width="12" style="24" customWidth="1"/>
    <col min="1756" max="1756" width="12.28515625" style="24" customWidth="1"/>
    <col min="1757" max="1757" width="0" style="24" hidden="1" customWidth="1"/>
    <col min="1758" max="1758" width="12.42578125" style="24" customWidth="1"/>
    <col min="1759" max="1759" width="11.28515625" style="24" customWidth="1"/>
    <col min="1760" max="1761" width="0" style="24" hidden="1" customWidth="1"/>
    <col min="1762" max="1762" width="8.85546875" style="24" bestFit="1" customWidth="1"/>
    <col min="1763" max="2000" width="11.42578125" style="24"/>
    <col min="2001" max="2001" width="5.28515625" style="24" customWidth="1"/>
    <col min="2002" max="2002" width="25.42578125" style="24" customWidth="1"/>
    <col min="2003" max="2003" width="14" style="24" customWidth="1"/>
    <col min="2004" max="2004" width="9.28515625" style="24" customWidth="1"/>
    <col min="2005" max="2005" width="12" style="24" customWidth="1"/>
    <col min="2006" max="2006" width="12.140625" style="24" customWidth="1"/>
    <col min="2007" max="2007" width="10.7109375" style="24" customWidth="1"/>
    <col min="2008" max="2008" width="10.42578125" style="24" customWidth="1"/>
    <col min="2009" max="2009" width="10.5703125" style="24" customWidth="1"/>
    <col min="2010" max="2010" width="12.5703125" style="24" customWidth="1"/>
    <col min="2011" max="2011" width="12" style="24" customWidth="1"/>
    <col min="2012" max="2012" width="12.28515625" style="24" customWidth="1"/>
    <col min="2013" max="2013" width="0" style="24" hidden="1" customWidth="1"/>
    <col min="2014" max="2014" width="12.42578125" style="24" customWidth="1"/>
    <col min="2015" max="2015" width="11.28515625" style="24" customWidth="1"/>
    <col min="2016" max="2017" width="0" style="24" hidden="1" customWidth="1"/>
    <col min="2018" max="2018" width="8.85546875" style="24" bestFit="1" customWidth="1"/>
    <col min="2019" max="2256" width="11.42578125" style="24"/>
    <col min="2257" max="2257" width="5.28515625" style="24" customWidth="1"/>
    <col min="2258" max="2258" width="25.42578125" style="24" customWidth="1"/>
    <col min="2259" max="2259" width="14" style="24" customWidth="1"/>
    <col min="2260" max="2260" width="9.28515625" style="24" customWidth="1"/>
    <col min="2261" max="2261" width="12" style="24" customWidth="1"/>
    <col min="2262" max="2262" width="12.140625" style="24" customWidth="1"/>
    <col min="2263" max="2263" width="10.7109375" style="24" customWidth="1"/>
    <col min="2264" max="2264" width="10.42578125" style="24" customWidth="1"/>
    <col min="2265" max="2265" width="10.5703125" style="24" customWidth="1"/>
    <col min="2266" max="2266" width="12.5703125" style="24" customWidth="1"/>
    <col min="2267" max="2267" width="12" style="24" customWidth="1"/>
    <col min="2268" max="2268" width="12.28515625" style="24" customWidth="1"/>
    <col min="2269" max="2269" width="0" style="24" hidden="1" customWidth="1"/>
    <col min="2270" max="2270" width="12.42578125" style="24" customWidth="1"/>
    <col min="2271" max="2271" width="11.28515625" style="24" customWidth="1"/>
    <col min="2272" max="2273" width="0" style="24" hidden="1" customWidth="1"/>
    <col min="2274" max="2274" width="8.85546875" style="24" bestFit="1" customWidth="1"/>
    <col min="2275" max="2512" width="11.42578125" style="24"/>
    <col min="2513" max="2513" width="5.28515625" style="24" customWidth="1"/>
    <col min="2514" max="2514" width="25.42578125" style="24" customWidth="1"/>
    <col min="2515" max="2515" width="14" style="24" customWidth="1"/>
    <col min="2516" max="2516" width="9.28515625" style="24" customWidth="1"/>
    <col min="2517" max="2517" width="12" style="24" customWidth="1"/>
    <col min="2518" max="2518" width="12.140625" style="24" customWidth="1"/>
    <col min="2519" max="2519" width="10.7109375" style="24" customWidth="1"/>
    <col min="2520" max="2520" width="10.42578125" style="24" customWidth="1"/>
    <col min="2521" max="2521" width="10.5703125" style="24" customWidth="1"/>
    <col min="2522" max="2522" width="12.5703125" style="24" customWidth="1"/>
    <col min="2523" max="2523" width="12" style="24" customWidth="1"/>
    <col min="2524" max="2524" width="12.28515625" style="24" customWidth="1"/>
    <col min="2525" max="2525" width="0" style="24" hidden="1" customWidth="1"/>
    <col min="2526" max="2526" width="12.42578125" style="24" customWidth="1"/>
    <col min="2527" max="2527" width="11.28515625" style="24" customWidth="1"/>
    <col min="2528" max="2529" width="0" style="24" hidden="1" customWidth="1"/>
    <col min="2530" max="2530" width="8.85546875" style="24" bestFit="1" customWidth="1"/>
    <col min="2531" max="2768" width="11.42578125" style="24"/>
    <col min="2769" max="2769" width="5.28515625" style="24" customWidth="1"/>
    <col min="2770" max="2770" width="25.42578125" style="24" customWidth="1"/>
    <col min="2771" max="2771" width="14" style="24" customWidth="1"/>
    <col min="2772" max="2772" width="9.28515625" style="24" customWidth="1"/>
    <col min="2773" max="2773" width="12" style="24" customWidth="1"/>
    <col min="2774" max="2774" width="12.140625" style="24" customWidth="1"/>
    <col min="2775" max="2775" width="10.7109375" style="24" customWidth="1"/>
    <col min="2776" max="2776" width="10.42578125" style="24" customWidth="1"/>
    <col min="2777" max="2777" width="10.5703125" style="24" customWidth="1"/>
    <col min="2778" max="2778" width="12.5703125" style="24" customWidth="1"/>
    <col min="2779" max="2779" width="12" style="24" customWidth="1"/>
    <col min="2780" max="2780" width="12.28515625" style="24" customWidth="1"/>
    <col min="2781" max="2781" width="0" style="24" hidden="1" customWidth="1"/>
    <col min="2782" max="2782" width="12.42578125" style="24" customWidth="1"/>
    <col min="2783" max="2783" width="11.28515625" style="24" customWidth="1"/>
    <col min="2784" max="2785" width="0" style="24" hidden="1" customWidth="1"/>
    <col min="2786" max="2786" width="8.85546875" style="24" bestFit="1" customWidth="1"/>
    <col min="2787" max="3024" width="11.42578125" style="24"/>
    <col min="3025" max="3025" width="5.28515625" style="24" customWidth="1"/>
    <col min="3026" max="3026" width="25.42578125" style="24" customWidth="1"/>
    <col min="3027" max="3027" width="14" style="24" customWidth="1"/>
    <col min="3028" max="3028" width="9.28515625" style="24" customWidth="1"/>
    <col min="3029" max="3029" width="12" style="24" customWidth="1"/>
    <col min="3030" max="3030" width="12.140625" style="24" customWidth="1"/>
    <col min="3031" max="3031" width="10.7109375" style="24" customWidth="1"/>
    <col min="3032" max="3032" width="10.42578125" style="24" customWidth="1"/>
    <col min="3033" max="3033" width="10.5703125" style="24" customWidth="1"/>
    <col min="3034" max="3034" width="12.5703125" style="24" customWidth="1"/>
    <col min="3035" max="3035" width="12" style="24" customWidth="1"/>
    <col min="3036" max="3036" width="12.28515625" style="24" customWidth="1"/>
    <col min="3037" max="3037" width="0" style="24" hidden="1" customWidth="1"/>
    <col min="3038" max="3038" width="12.42578125" style="24" customWidth="1"/>
    <col min="3039" max="3039" width="11.28515625" style="24" customWidth="1"/>
    <col min="3040" max="3041" width="0" style="24" hidden="1" customWidth="1"/>
    <col min="3042" max="3042" width="8.85546875" style="24" bestFit="1" customWidth="1"/>
    <col min="3043" max="3280" width="11.42578125" style="24"/>
    <col min="3281" max="3281" width="5.28515625" style="24" customWidth="1"/>
    <col min="3282" max="3282" width="25.42578125" style="24" customWidth="1"/>
    <col min="3283" max="3283" width="14" style="24" customWidth="1"/>
    <col min="3284" max="3284" width="9.28515625" style="24" customWidth="1"/>
    <col min="3285" max="3285" width="12" style="24" customWidth="1"/>
    <col min="3286" max="3286" width="12.140625" style="24" customWidth="1"/>
    <col min="3287" max="3287" width="10.7109375" style="24" customWidth="1"/>
    <col min="3288" max="3288" width="10.42578125" style="24" customWidth="1"/>
    <col min="3289" max="3289" width="10.5703125" style="24" customWidth="1"/>
    <col min="3290" max="3290" width="12.5703125" style="24" customWidth="1"/>
    <col min="3291" max="3291" width="12" style="24" customWidth="1"/>
    <col min="3292" max="3292" width="12.28515625" style="24" customWidth="1"/>
    <col min="3293" max="3293" width="0" style="24" hidden="1" customWidth="1"/>
    <col min="3294" max="3294" width="12.42578125" style="24" customWidth="1"/>
    <col min="3295" max="3295" width="11.28515625" style="24" customWidth="1"/>
    <col min="3296" max="3297" width="0" style="24" hidden="1" customWidth="1"/>
    <col min="3298" max="3298" width="8.85546875" style="24" bestFit="1" customWidth="1"/>
    <col min="3299" max="3536" width="11.42578125" style="24"/>
    <col min="3537" max="3537" width="5.28515625" style="24" customWidth="1"/>
    <col min="3538" max="3538" width="25.42578125" style="24" customWidth="1"/>
    <col min="3539" max="3539" width="14" style="24" customWidth="1"/>
    <col min="3540" max="3540" width="9.28515625" style="24" customWidth="1"/>
    <col min="3541" max="3541" width="12" style="24" customWidth="1"/>
    <col min="3542" max="3542" width="12.140625" style="24" customWidth="1"/>
    <col min="3543" max="3543" width="10.7109375" style="24" customWidth="1"/>
    <col min="3544" max="3544" width="10.42578125" style="24" customWidth="1"/>
    <col min="3545" max="3545" width="10.5703125" style="24" customWidth="1"/>
    <col min="3546" max="3546" width="12.5703125" style="24" customWidth="1"/>
    <col min="3547" max="3547" width="12" style="24" customWidth="1"/>
    <col min="3548" max="3548" width="12.28515625" style="24" customWidth="1"/>
    <col min="3549" max="3549" width="0" style="24" hidden="1" customWidth="1"/>
    <col min="3550" max="3550" width="12.42578125" style="24" customWidth="1"/>
    <col min="3551" max="3551" width="11.28515625" style="24" customWidth="1"/>
    <col min="3552" max="3553" width="0" style="24" hidden="1" customWidth="1"/>
    <col min="3554" max="3554" width="8.85546875" style="24" bestFit="1" customWidth="1"/>
    <col min="3555" max="3792" width="11.42578125" style="24"/>
    <col min="3793" max="3793" width="5.28515625" style="24" customWidth="1"/>
    <col min="3794" max="3794" width="25.42578125" style="24" customWidth="1"/>
    <col min="3795" max="3795" width="14" style="24" customWidth="1"/>
    <col min="3796" max="3796" width="9.28515625" style="24" customWidth="1"/>
    <col min="3797" max="3797" width="12" style="24" customWidth="1"/>
    <col min="3798" max="3798" width="12.140625" style="24" customWidth="1"/>
    <col min="3799" max="3799" width="10.7109375" style="24" customWidth="1"/>
    <col min="3800" max="3800" width="10.42578125" style="24" customWidth="1"/>
    <col min="3801" max="3801" width="10.5703125" style="24" customWidth="1"/>
    <col min="3802" max="3802" width="12.5703125" style="24" customWidth="1"/>
    <col min="3803" max="3803" width="12" style="24" customWidth="1"/>
    <col min="3804" max="3804" width="12.28515625" style="24" customWidth="1"/>
    <col min="3805" max="3805" width="0" style="24" hidden="1" customWidth="1"/>
    <col min="3806" max="3806" width="12.42578125" style="24" customWidth="1"/>
    <col min="3807" max="3807" width="11.28515625" style="24" customWidth="1"/>
    <col min="3808" max="3809" width="0" style="24" hidden="1" customWidth="1"/>
    <col min="3810" max="3810" width="8.85546875" style="24" bestFit="1" customWidth="1"/>
    <col min="3811" max="4048" width="11.42578125" style="24"/>
    <col min="4049" max="4049" width="5.28515625" style="24" customWidth="1"/>
    <col min="4050" max="4050" width="25.42578125" style="24" customWidth="1"/>
    <col min="4051" max="4051" width="14" style="24" customWidth="1"/>
    <col min="4052" max="4052" width="9.28515625" style="24" customWidth="1"/>
    <col min="4053" max="4053" width="12" style="24" customWidth="1"/>
    <col min="4054" max="4054" width="12.140625" style="24" customWidth="1"/>
    <col min="4055" max="4055" width="10.7109375" style="24" customWidth="1"/>
    <col min="4056" max="4056" width="10.42578125" style="24" customWidth="1"/>
    <col min="4057" max="4057" width="10.5703125" style="24" customWidth="1"/>
    <col min="4058" max="4058" width="12.5703125" style="24" customWidth="1"/>
    <col min="4059" max="4059" width="12" style="24" customWidth="1"/>
    <col min="4060" max="4060" width="12.28515625" style="24" customWidth="1"/>
    <col min="4061" max="4061" width="0" style="24" hidden="1" customWidth="1"/>
    <col min="4062" max="4062" width="12.42578125" style="24" customWidth="1"/>
    <col min="4063" max="4063" width="11.28515625" style="24" customWidth="1"/>
    <col min="4064" max="4065" width="0" style="24" hidden="1" customWidth="1"/>
    <col min="4066" max="4066" width="8.85546875" style="24" bestFit="1" customWidth="1"/>
    <col min="4067" max="4304" width="11.42578125" style="24"/>
    <col min="4305" max="4305" width="5.28515625" style="24" customWidth="1"/>
    <col min="4306" max="4306" width="25.42578125" style="24" customWidth="1"/>
    <col min="4307" max="4307" width="14" style="24" customWidth="1"/>
    <col min="4308" max="4308" width="9.28515625" style="24" customWidth="1"/>
    <col min="4309" max="4309" width="12" style="24" customWidth="1"/>
    <col min="4310" max="4310" width="12.140625" style="24" customWidth="1"/>
    <col min="4311" max="4311" width="10.7109375" style="24" customWidth="1"/>
    <col min="4312" max="4312" width="10.42578125" style="24" customWidth="1"/>
    <col min="4313" max="4313" width="10.5703125" style="24" customWidth="1"/>
    <col min="4314" max="4314" width="12.5703125" style="24" customWidth="1"/>
    <col min="4315" max="4315" width="12" style="24" customWidth="1"/>
    <col min="4316" max="4316" width="12.28515625" style="24" customWidth="1"/>
    <col min="4317" max="4317" width="0" style="24" hidden="1" customWidth="1"/>
    <col min="4318" max="4318" width="12.42578125" style="24" customWidth="1"/>
    <col min="4319" max="4319" width="11.28515625" style="24" customWidth="1"/>
    <col min="4320" max="4321" width="0" style="24" hidden="1" customWidth="1"/>
    <col min="4322" max="4322" width="8.85546875" style="24" bestFit="1" customWidth="1"/>
    <col min="4323" max="4560" width="11.42578125" style="24"/>
    <col min="4561" max="4561" width="5.28515625" style="24" customWidth="1"/>
    <col min="4562" max="4562" width="25.42578125" style="24" customWidth="1"/>
    <col min="4563" max="4563" width="14" style="24" customWidth="1"/>
    <col min="4564" max="4564" width="9.28515625" style="24" customWidth="1"/>
    <col min="4565" max="4565" width="12" style="24" customWidth="1"/>
    <col min="4566" max="4566" width="12.140625" style="24" customWidth="1"/>
    <col min="4567" max="4567" width="10.7109375" style="24" customWidth="1"/>
    <col min="4568" max="4568" width="10.42578125" style="24" customWidth="1"/>
    <col min="4569" max="4569" width="10.5703125" style="24" customWidth="1"/>
    <col min="4570" max="4570" width="12.5703125" style="24" customWidth="1"/>
    <col min="4571" max="4571" width="12" style="24" customWidth="1"/>
    <col min="4572" max="4572" width="12.28515625" style="24" customWidth="1"/>
    <col min="4573" max="4573" width="0" style="24" hidden="1" customWidth="1"/>
    <col min="4574" max="4574" width="12.42578125" style="24" customWidth="1"/>
    <col min="4575" max="4575" width="11.28515625" style="24" customWidth="1"/>
    <col min="4576" max="4577" width="0" style="24" hidden="1" customWidth="1"/>
    <col min="4578" max="4578" width="8.85546875" style="24" bestFit="1" customWidth="1"/>
    <col min="4579" max="4816" width="11.42578125" style="24"/>
    <col min="4817" max="4817" width="5.28515625" style="24" customWidth="1"/>
    <col min="4818" max="4818" width="25.42578125" style="24" customWidth="1"/>
    <col min="4819" max="4819" width="14" style="24" customWidth="1"/>
    <col min="4820" max="4820" width="9.28515625" style="24" customWidth="1"/>
    <col min="4821" max="4821" width="12" style="24" customWidth="1"/>
    <col min="4822" max="4822" width="12.140625" style="24" customWidth="1"/>
    <col min="4823" max="4823" width="10.7109375" style="24" customWidth="1"/>
    <col min="4824" max="4824" width="10.42578125" style="24" customWidth="1"/>
    <col min="4825" max="4825" width="10.5703125" style="24" customWidth="1"/>
    <col min="4826" max="4826" width="12.5703125" style="24" customWidth="1"/>
    <col min="4827" max="4827" width="12" style="24" customWidth="1"/>
    <col min="4828" max="4828" width="12.28515625" style="24" customWidth="1"/>
    <col min="4829" max="4829" width="0" style="24" hidden="1" customWidth="1"/>
    <col min="4830" max="4830" width="12.42578125" style="24" customWidth="1"/>
    <col min="4831" max="4831" width="11.28515625" style="24" customWidth="1"/>
    <col min="4832" max="4833" width="0" style="24" hidden="1" customWidth="1"/>
    <col min="4834" max="4834" width="8.85546875" style="24" bestFit="1" customWidth="1"/>
    <col min="4835" max="5072" width="11.42578125" style="24"/>
    <col min="5073" max="5073" width="5.28515625" style="24" customWidth="1"/>
    <col min="5074" max="5074" width="25.42578125" style="24" customWidth="1"/>
    <col min="5075" max="5075" width="14" style="24" customWidth="1"/>
    <col min="5076" max="5076" width="9.28515625" style="24" customWidth="1"/>
    <col min="5077" max="5077" width="12" style="24" customWidth="1"/>
    <col min="5078" max="5078" width="12.140625" style="24" customWidth="1"/>
    <col min="5079" max="5079" width="10.7109375" style="24" customWidth="1"/>
    <col min="5080" max="5080" width="10.42578125" style="24" customWidth="1"/>
    <col min="5081" max="5081" width="10.5703125" style="24" customWidth="1"/>
    <col min="5082" max="5082" width="12.5703125" style="24" customWidth="1"/>
    <col min="5083" max="5083" width="12" style="24" customWidth="1"/>
    <col min="5084" max="5084" width="12.28515625" style="24" customWidth="1"/>
    <col min="5085" max="5085" width="0" style="24" hidden="1" customWidth="1"/>
    <col min="5086" max="5086" width="12.42578125" style="24" customWidth="1"/>
    <col min="5087" max="5087" width="11.28515625" style="24" customWidth="1"/>
    <col min="5088" max="5089" width="0" style="24" hidden="1" customWidth="1"/>
    <col min="5090" max="5090" width="8.85546875" style="24" bestFit="1" customWidth="1"/>
    <col min="5091" max="5328" width="11.42578125" style="24"/>
    <col min="5329" max="5329" width="5.28515625" style="24" customWidth="1"/>
    <col min="5330" max="5330" width="25.42578125" style="24" customWidth="1"/>
    <col min="5331" max="5331" width="14" style="24" customWidth="1"/>
    <col min="5332" max="5332" width="9.28515625" style="24" customWidth="1"/>
    <col min="5333" max="5333" width="12" style="24" customWidth="1"/>
    <col min="5334" max="5334" width="12.140625" style="24" customWidth="1"/>
    <col min="5335" max="5335" width="10.7109375" style="24" customWidth="1"/>
    <col min="5336" max="5336" width="10.42578125" style="24" customWidth="1"/>
    <col min="5337" max="5337" width="10.5703125" style="24" customWidth="1"/>
    <col min="5338" max="5338" width="12.5703125" style="24" customWidth="1"/>
    <col min="5339" max="5339" width="12" style="24" customWidth="1"/>
    <col min="5340" max="5340" width="12.28515625" style="24" customWidth="1"/>
    <col min="5341" max="5341" width="0" style="24" hidden="1" customWidth="1"/>
    <col min="5342" max="5342" width="12.42578125" style="24" customWidth="1"/>
    <col min="5343" max="5343" width="11.28515625" style="24" customWidth="1"/>
    <col min="5344" max="5345" width="0" style="24" hidden="1" customWidth="1"/>
    <col min="5346" max="5346" width="8.85546875" style="24" bestFit="1" customWidth="1"/>
    <col min="5347" max="5584" width="11.42578125" style="24"/>
    <col min="5585" max="5585" width="5.28515625" style="24" customWidth="1"/>
    <col min="5586" max="5586" width="25.42578125" style="24" customWidth="1"/>
    <col min="5587" max="5587" width="14" style="24" customWidth="1"/>
    <col min="5588" max="5588" width="9.28515625" style="24" customWidth="1"/>
    <col min="5589" max="5589" width="12" style="24" customWidth="1"/>
    <col min="5590" max="5590" width="12.140625" style="24" customWidth="1"/>
    <col min="5591" max="5591" width="10.7109375" style="24" customWidth="1"/>
    <col min="5592" max="5592" width="10.42578125" style="24" customWidth="1"/>
    <col min="5593" max="5593" width="10.5703125" style="24" customWidth="1"/>
    <col min="5594" max="5594" width="12.5703125" style="24" customWidth="1"/>
    <col min="5595" max="5595" width="12" style="24" customWidth="1"/>
    <col min="5596" max="5596" width="12.28515625" style="24" customWidth="1"/>
    <col min="5597" max="5597" width="0" style="24" hidden="1" customWidth="1"/>
    <col min="5598" max="5598" width="12.42578125" style="24" customWidth="1"/>
    <col min="5599" max="5599" width="11.28515625" style="24" customWidth="1"/>
    <col min="5600" max="5601" width="0" style="24" hidden="1" customWidth="1"/>
    <col min="5602" max="5602" width="8.85546875" style="24" bestFit="1" customWidth="1"/>
    <col min="5603" max="5840" width="11.42578125" style="24"/>
    <col min="5841" max="5841" width="5.28515625" style="24" customWidth="1"/>
    <col min="5842" max="5842" width="25.42578125" style="24" customWidth="1"/>
    <col min="5843" max="5843" width="14" style="24" customWidth="1"/>
    <col min="5844" max="5844" width="9.28515625" style="24" customWidth="1"/>
    <col min="5845" max="5845" width="12" style="24" customWidth="1"/>
    <col min="5846" max="5846" width="12.140625" style="24" customWidth="1"/>
    <col min="5847" max="5847" width="10.7109375" style="24" customWidth="1"/>
    <col min="5848" max="5848" width="10.42578125" style="24" customWidth="1"/>
    <col min="5849" max="5849" width="10.5703125" style="24" customWidth="1"/>
    <col min="5850" max="5850" width="12.5703125" style="24" customWidth="1"/>
    <col min="5851" max="5851" width="12" style="24" customWidth="1"/>
    <col min="5852" max="5852" width="12.28515625" style="24" customWidth="1"/>
    <col min="5853" max="5853" width="0" style="24" hidden="1" customWidth="1"/>
    <col min="5854" max="5854" width="12.42578125" style="24" customWidth="1"/>
    <col min="5855" max="5855" width="11.28515625" style="24" customWidth="1"/>
    <col min="5856" max="5857" width="0" style="24" hidden="1" customWidth="1"/>
    <col min="5858" max="5858" width="8.85546875" style="24" bestFit="1" customWidth="1"/>
    <col min="5859" max="6096" width="11.42578125" style="24"/>
    <col min="6097" max="6097" width="5.28515625" style="24" customWidth="1"/>
    <col min="6098" max="6098" width="25.42578125" style="24" customWidth="1"/>
    <col min="6099" max="6099" width="14" style="24" customWidth="1"/>
    <col min="6100" max="6100" width="9.28515625" style="24" customWidth="1"/>
    <col min="6101" max="6101" width="12" style="24" customWidth="1"/>
    <col min="6102" max="6102" width="12.140625" style="24" customWidth="1"/>
    <col min="6103" max="6103" width="10.7109375" style="24" customWidth="1"/>
    <col min="6104" max="6104" width="10.42578125" style="24" customWidth="1"/>
    <col min="6105" max="6105" width="10.5703125" style="24" customWidth="1"/>
    <col min="6106" max="6106" width="12.5703125" style="24" customWidth="1"/>
    <col min="6107" max="6107" width="12" style="24" customWidth="1"/>
    <col min="6108" max="6108" width="12.28515625" style="24" customWidth="1"/>
    <col min="6109" max="6109" width="0" style="24" hidden="1" customWidth="1"/>
    <col min="6110" max="6110" width="12.42578125" style="24" customWidth="1"/>
    <col min="6111" max="6111" width="11.28515625" style="24" customWidth="1"/>
    <col min="6112" max="6113" width="0" style="24" hidden="1" customWidth="1"/>
    <col min="6114" max="6114" width="8.85546875" style="24" bestFit="1" customWidth="1"/>
    <col min="6115" max="6352" width="11.42578125" style="24"/>
    <col min="6353" max="6353" width="5.28515625" style="24" customWidth="1"/>
    <col min="6354" max="6354" width="25.42578125" style="24" customWidth="1"/>
    <col min="6355" max="6355" width="14" style="24" customWidth="1"/>
    <col min="6356" max="6356" width="9.28515625" style="24" customWidth="1"/>
    <col min="6357" max="6357" width="12" style="24" customWidth="1"/>
    <col min="6358" max="6358" width="12.140625" style="24" customWidth="1"/>
    <col min="6359" max="6359" width="10.7109375" style="24" customWidth="1"/>
    <col min="6360" max="6360" width="10.42578125" style="24" customWidth="1"/>
    <col min="6361" max="6361" width="10.5703125" style="24" customWidth="1"/>
    <col min="6362" max="6362" width="12.5703125" style="24" customWidth="1"/>
    <col min="6363" max="6363" width="12" style="24" customWidth="1"/>
    <col min="6364" max="6364" width="12.28515625" style="24" customWidth="1"/>
    <col min="6365" max="6365" width="0" style="24" hidden="1" customWidth="1"/>
    <col min="6366" max="6366" width="12.42578125" style="24" customWidth="1"/>
    <col min="6367" max="6367" width="11.28515625" style="24" customWidth="1"/>
    <col min="6368" max="6369" width="0" style="24" hidden="1" customWidth="1"/>
    <col min="6370" max="6370" width="8.85546875" style="24" bestFit="1" customWidth="1"/>
    <col min="6371" max="6608" width="11.42578125" style="24"/>
    <col min="6609" max="6609" width="5.28515625" style="24" customWidth="1"/>
    <col min="6610" max="6610" width="25.42578125" style="24" customWidth="1"/>
    <col min="6611" max="6611" width="14" style="24" customWidth="1"/>
    <col min="6612" max="6612" width="9.28515625" style="24" customWidth="1"/>
    <col min="6613" max="6613" width="12" style="24" customWidth="1"/>
    <col min="6614" max="6614" width="12.140625" style="24" customWidth="1"/>
    <col min="6615" max="6615" width="10.7109375" style="24" customWidth="1"/>
    <col min="6616" max="6616" width="10.42578125" style="24" customWidth="1"/>
    <col min="6617" max="6617" width="10.5703125" style="24" customWidth="1"/>
    <col min="6618" max="6618" width="12.5703125" style="24" customWidth="1"/>
    <col min="6619" max="6619" width="12" style="24" customWidth="1"/>
    <col min="6620" max="6620" width="12.28515625" style="24" customWidth="1"/>
    <col min="6621" max="6621" width="0" style="24" hidden="1" customWidth="1"/>
    <col min="6622" max="6622" width="12.42578125" style="24" customWidth="1"/>
    <col min="6623" max="6623" width="11.28515625" style="24" customWidth="1"/>
    <col min="6624" max="6625" width="0" style="24" hidden="1" customWidth="1"/>
    <col min="6626" max="6626" width="8.85546875" style="24" bestFit="1" customWidth="1"/>
    <col min="6627" max="6864" width="11.42578125" style="24"/>
    <col min="6865" max="6865" width="5.28515625" style="24" customWidth="1"/>
    <col min="6866" max="6866" width="25.42578125" style="24" customWidth="1"/>
    <col min="6867" max="6867" width="14" style="24" customWidth="1"/>
    <col min="6868" max="6868" width="9.28515625" style="24" customWidth="1"/>
    <col min="6869" max="6869" width="12" style="24" customWidth="1"/>
    <col min="6870" max="6870" width="12.140625" style="24" customWidth="1"/>
    <col min="6871" max="6871" width="10.7109375" style="24" customWidth="1"/>
    <col min="6872" max="6872" width="10.42578125" style="24" customWidth="1"/>
    <col min="6873" max="6873" width="10.5703125" style="24" customWidth="1"/>
    <col min="6874" max="6874" width="12.5703125" style="24" customWidth="1"/>
    <col min="6875" max="6875" width="12" style="24" customWidth="1"/>
    <col min="6876" max="6876" width="12.28515625" style="24" customWidth="1"/>
    <col min="6877" max="6877" width="0" style="24" hidden="1" customWidth="1"/>
    <col min="6878" max="6878" width="12.42578125" style="24" customWidth="1"/>
    <col min="6879" max="6879" width="11.28515625" style="24" customWidth="1"/>
    <col min="6880" max="6881" width="0" style="24" hidden="1" customWidth="1"/>
    <col min="6882" max="6882" width="8.85546875" style="24" bestFit="1" customWidth="1"/>
    <col min="6883" max="7120" width="11.42578125" style="24"/>
    <col min="7121" max="7121" width="5.28515625" style="24" customWidth="1"/>
    <col min="7122" max="7122" width="25.42578125" style="24" customWidth="1"/>
    <col min="7123" max="7123" width="14" style="24" customWidth="1"/>
    <col min="7124" max="7124" width="9.28515625" style="24" customWidth="1"/>
    <col min="7125" max="7125" width="12" style="24" customWidth="1"/>
    <col min="7126" max="7126" width="12.140625" style="24" customWidth="1"/>
    <col min="7127" max="7127" width="10.7109375" style="24" customWidth="1"/>
    <col min="7128" max="7128" width="10.42578125" style="24" customWidth="1"/>
    <col min="7129" max="7129" width="10.5703125" style="24" customWidth="1"/>
    <col min="7130" max="7130" width="12.5703125" style="24" customWidth="1"/>
    <col min="7131" max="7131" width="12" style="24" customWidth="1"/>
    <col min="7132" max="7132" width="12.28515625" style="24" customWidth="1"/>
    <col min="7133" max="7133" width="0" style="24" hidden="1" customWidth="1"/>
    <col min="7134" max="7134" width="12.42578125" style="24" customWidth="1"/>
    <col min="7135" max="7135" width="11.28515625" style="24" customWidth="1"/>
    <col min="7136" max="7137" width="0" style="24" hidden="1" customWidth="1"/>
    <col min="7138" max="7138" width="8.85546875" style="24" bestFit="1" customWidth="1"/>
    <col min="7139" max="7376" width="11.42578125" style="24"/>
    <col min="7377" max="7377" width="5.28515625" style="24" customWidth="1"/>
    <col min="7378" max="7378" width="25.42578125" style="24" customWidth="1"/>
    <col min="7379" max="7379" width="14" style="24" customWidth="1"/>
    <col min="7380" max="7380" width="9.28515625" style="24" customWidth="1"/>
    <col min="7381" max="7381" width="12" style="24" customWidth="1"/>
    <col min="7382" max="7382" width="12.140625" style="24" customWidth="1"/>
    <col min="7383" max="7383" width="10.7109375" style="24" customWidth="1"/>
    <col min="7384" max="7384" width="10.42578125" style="24" customWidth="1"/>
    <col min="7385" max="7385" width="10.5703125" style="24" customWidth="1"/>
    <col min="7386" max="7386" width="12.5703125" style="24" customWidth="1"/>
    <col min="7387" max="7387" width="12" style="24" customWidth="1"/>
    <col min="7388" max="7388" width="12.28515625" style="24" customWidth="1"/>
    <col min="7389" max="7389" width="0" style="24" hidden="1" customWidth="1"/>
    <col min="7390" max="7390" width="12.42578125" style="24" customWidth="1"/>
    <col min="7391" max="7391" width="11.28515625" style="24" customWidth="1"/>
    <col min="7392" max="7393" width="0" style="24" hidden="1" customWidth="1"/>
    <col min="7394" max="7394" width="8.85546875" style="24" bestFit="1" customWidth="1"/>
    <col min="7395" max="7632" width="11.42578125" style="24"/>
    <col min="7633" max="7633" width="5.28515625" style="24" customWidth="1"/>
    <col min="7634" max="7634" width="25.42578125" style="24" customWidth="1"/>
    <col min="7635" max="7635" width="14" style="24" customWidth="1"/>
    <col min="7636" max="7636" width="9.28515625" style="24" customWidth="1"/>
    <col min="7637" max="7637" width="12" style="24" customWidth="1"/>
    <col min="7638" max="7638" width="12.140625" style="24" customWidth="1"/>
    <col min="7639" max="7639" width="10.7109375" style="24" customWidth="1"/>
    <col min="7640" max="7640" width="10.42578125" style="24" customWidth="1"/>
    <col min="7641" max="7641" width="10.5703125" style="24" customWidth="1"/>
    <col min="7642" max="7642" width="12.5703125" style="24" customWidth="1"/>
    <col min="7643" max="7643" width="12" style="24" customWidth="1"/>
    <col min="7644" max="7644" width="12.28515625" style="24" customWidth="1"/>
    <col min="7645" max="7645" width="0" style="24" hidden="1" customWidth="1"/>
    <col min="7646" max="7646" width="12.42578125" style="24" customWidth="1"/>
    <col min="7647" max="7647" width="11.28515625" style="24" customWidth="1"/>
    <col min="7648" max="7649" width="0" style="24" hidden="1" customWidth="1"/>
    <col min="7650" max="7650" width="8.85546875" style="24" bestFit="1" customWidth="1"/>
    <col min="7651" max="7888" width="11.42578125" style="24"/>
    <col min="7889" max="7889" width="5.28515625" style="24" customWidth="1"/>
    <col min="7890" max="7890" width="25.42578125" style="24" customWidth="1"/>
    <col min="7891" max="7891" width="14" style="24" customWidth="1"/>
    <col min="7892" max="7892" width="9.28515625" style="24" customWidth="1"/>
    <col min="7893" max="7893" width="12" style="24" customWidth="1"/>
    <col min="7894" max="7894" width="12.140625" style="24" customWidth="1"/>
    <col min="7895" max="7895" width="10.7109375" style="24" customWidth="1"/>
    <col min="7896" max="7896" width="10.42578125" style="24" customWidth="1"/>
    <col min="7897" max="7897" width="10.5703125" style="24" customWidth="1"/>
    <col min="7898" max="7898" width="12.5703125" style="24" customWidth="1"/>
    <col min="7899" max="7899" width="12" style="24" customWidth="1"/>
    <col min="7900" max="7900" width="12.28515625" style="24" customWidth="1"/>
    <col min="7901" max="7901" width="0" style="24" hidden="1" customWidth="1"/>
    <col min="7902" max="7902" width="12.42578125" style="24" customWidth="1"/>
    <col min="7903" max="7903" width="11.28515625" style="24" customWidth="1"/>
    <col min="7904" max="7905" width="0" style="24" hidden="1" customWidth="1"/>
    <col min="7906" max="7906" width="8.85546875" style="24" bestFit="1" customWidth="1"/>
    <col min="7907" max="8144" width="11.42578125" style="24"/>
    <col min="8145" max="8145" width="5.28515625" style="24" customWidth="1"/>
    <col min="8146" max="8146" width="25.42578125" style="24" customWidth="1"/>
    <col min="8147" max="8147" width="14" style="24" customWidth="1"/>
    <col min="8148" max="8148" width="9.28515625" style="24" customWidth="1"/>
    <col min="8149" max="8149" width="12" style="24" customWidth="1"/>
    <col min="8150" max="8150" width="12.140625" style="24" customWidth="1"/>
    <col min="8151" max="8151" width="10.7109375" style="24" customWidth="1"/>
    <col min="8152" max="8152" width="10.42578125" style="24" customWidth="1"/>
    <col min="8153" max="8153" width="10.5703125" style="24" customWidth="1"/>
    <col min="8154" max="8154" width="12.5703125" style="24" customWidth="1"/>
    <col min="8155" max="8155" width="12" style="24" customWidth="1"/>
    <col min="8156" max="8156" width="12.28515625" style="24" customWidth="1"/>
    <col min="8157" max="8157" width="0" style="24" hidden="1" customWidth="1"/>
    <col min="8158" max="8158" width="12.42578125" style="24" customWidth="1"/>
    <col min="8159" max="8159" width="11.28515625" style="24" customWidth="1"/>
    <col min="8160" max="8161" width="0" style="24" hidden="1" customWidth="1"/>
    <col min="8162" max="8162" width="8.85546875" style="24" bestFit="1" customWidth="1"/>
    <col min="8163" max="8400" width="11.42578125" style="24"/>
    <col min="8401" max="8401" width="5.28515625" style="24" customWidth="1"/>
    <col min="8402" max="8402" width="25.42578125" style="24" customWidth="1"/>
    <col min="8403" max="8403" width="14" style="24" customWidth="1"/>
    <col min="8404" max="8404" width="9.28515625" style="24" customWidth="1"/>
    <col min="8405" max="8405" width="12" style="24" customWidth="1"/>
    <col min="8406" max="8406" width="12.140625" style="24" customWidth="1"/>
    <col min="8407" max="8407" width="10.7109375" style="24" customWidth="1"/>
    <col min="8408" max="8408" width="10.42578125" style="24" customWidth="1"/>
    <col min="8409" max="8409" width="10.5703125" style="24" customWidth="1"/>
    <col min="8410" max="8410" width="12.5703125" style="24" customWidth="1"/>
    <col min="8411" max="8411" width="12" style="24" customWidth="1"/>
    <col min="8412" max="8412" width="12.28515625" style="24" customWidth="1"/>
    <col min="8413" max="8413" width="0" style="24" hidden="1" customWidth="1"/>
    <col min="8414" max="8414" width="12.42578125" style="24" customWidth="1"/>
    <col min="8415" max="8415" width="11.28515625" style="24" customWidth="1"/>
    <col min="8416" max="8417" width="0" style="24" hidden="1" customWidth="1"/>
    <col min="8418" max="8418" width="8.85546875" style="24" bestFit="1" customWidth="1"/>
    <col min="8419" max="8656" width="11.42578125" style="24"/>
    <col min="8657" max="8657" width="5.28515625" style="24" customWidth="1"/>
    <col min="8658" max="8658" width="25.42578125" style="24" customWidth="1"/>
    <col min="8659" max="8659" width="14" style="24" customWidth="1"/>
    <col min="8660" max="8660" width="9.28515625" style="24" customWidth="1"/>
    <col min="8661" max="8661" width="12" style="24" customWidth="1"/>
    <col min="8662" max="8662" width="12.140625" style="24" customWidth="1"/>
    <col min="8663" max="8663" width="10.7109375" style="24" customWidth="1"/>
    <col min="8664" max="8664" width="10.42578125" style="24" customWidth="1"/>
    <col min="8665" max="8665" width="10.5703125" style="24" customWidth="1"/>
    <col min="8666" max="8666" width="12.5703125" style="24" customWidth="1"/>
    <col min="8667" max="8667" width="12" style="24" customWidth="1"/>
    <col min="8668" max="8668" width="12.28515625" style="24" customWidth="1"/>
    <col min="8669" max="8669" width="0" style="24" hidden="1" customWidth="1"/>
    <col min="8670" max="8670" width="12.42578125" style="24" customWidth="1"/>
    <col min="8671" max="8671" width="11.28515625" style="24" customWidth="1"/>
    <col min="8672" max="8673" width="0" style="24" hidden="1" customWidth="1"/>
    <col min="8674" max="8674" width="8.85546875" style="24" bestFit="1" customWidth="1"/>
    <col min="8675" max="8912" width="11.42578125" style="24"/>
    <col min="8913" max="8913" width="5.28515625" style="24" customWidth="1"/>
    <col min="8914" max="8914" width="25.42578125" style="24" customWidth="1"/>
    <col min="8915" max="8915" width="14" style="24" customWidth="1"/>
    <col min="8916" max="8916" width="9.28515625" style="24" customWidth="1"/>
    <col min="8917" max="8917" width="12" style="24" customWidth="1"/>
    <col min="8918" max="8918" width="12.140625" style="24" customWidth="1"/>
    <col min="8919" max="8919" width="10.7109375" style="24" customWidth="1"/>
    <col min="8920" max="8920" width="10.42578125" style="24" customWidth="1"/>
    <col min="8921" max="8921" width="10.5703125" style="24" customWidth="1"/>
    <col min="8922" max="8922" width="12.5703125" style="24" customWidth="1"/>
    <col min="8923" max="8923" width="12" style="24" customWidth="1"/>
    <col min="8924" max="8924" width="12.28515625" style="24" customWidth="1"/>
    <col min="8925" max="8925" width="0" style="24" hidden="1" customWidth="1"/>
    <col min="8926" max="8926" width="12.42578125" style="24" customWidth="1"/>
    <col min="8927" max="8927" width="11.28515625" style="24" customWidth="1"/>
    <col min="8928" max="8929" width="0" style="24" hidden="1" customWidth="1"/>
    <col min="8930" max="8930" width="8.85546875" style="24" bestFit="1" customWidth="1"/>
    <col min="8931" max="9168" width="11.42578125" style="24"/>
    <col min="9169" max="9169" width="5.28515625" style="24" customWidth="1"/>
    <col min="9170" max="9170" width="25.42578125" style="24" customWidth="1"/>
    <col min="9171" max="9171" width="14" style="24" customWidth="1"/>
    <col min="9172" max="9172" width="9.28515625" style="24" customWidth="1"/>
    <col min="9173" max="9173" width="12" style="24" customWidth="1"/>
    <col min="9174" max="9174" width="12.140625" style="24" customWidth="1"/>
    <col min="9175" max="9175" width="10.7109375" style="24" customWidth="1"/>
    <col min="9176" max="9176" width="10.42578125" style="24" customWidth="1"/>
    <col min="9177" max="9177" width="10.5703125" style="24" customWidth="1"/>
    <col min="9178" max="9178" width="12.5703125" style="24" customWidth="1"/>
    <col min="9179" max="9179" width="12" style="24" customWidth="1"/>
    <col min="9180" max="9180" width="12.28515625" style="24" customWidth="1"/>
    <col min="9181" max="9181" width="0" style="24" hidden="1" customWidth="1"/>
    <col min="9182" max="9182" width="12.42578125" style="24" customWidth="1"/>
    <col min="9183" max="9183" width="11.28515625" style="24" customWidth="1"/>
    <col min="9184" max="9185" width="0" style="24" hidden="1" customWidth="1"/>
    <col min="9186" max="9186" width="8.85546875" style="24" bestFit="1" customWidth="1"/>
    <col min="9187" max="9424" width="11.42578125" style="24"/>
    <col min="9425" max="9425" width="5.28515625" style="24" customWidth="1"/>
    <col min="9426" max="9426" width="25.42578125" style="24" customWidth="1"/>
    <col min="9427" max="9427" width="14" style="24" customWidth="1"/>
    <col min="9428" max="9428" width="9.28515625" style="24" customWidth="1"/>
    <col min="9429" max="9429" width="12" style="24" customWidth="1"/>
    <col min="9430" max="9430" width="12.140625" style="24" customWidth="1"/>
    <col min="9431" max="9431" width="10.7109375" style="24" customWidth="1"/>
    <col min="9432" max="9432" width="10.42578125" style="24" customWidth="1"/>
    <col min="9433" max="9433" width="10.5703125" style="24" customWidth="1"/>
    <col min="9434" max="9434" width="12.5703125" style="24" customWidth="1"/>
    <col min="9435" max="9435" width="12" style="24" customWidth="1"/>
    <col min="9436" max="9436" width="12.28515625" style="24" customWidth="1"/>
    <col min="9437" max="9437" width="0" style="24" hidden="1" customWidth="1"/>
    <col min="9438" max="9438" width="12.42578125" style="24" customWidth="1"/>
    <col min="9439" max="9439" width="11.28515625" style="24" customWidth="1"/>
    <col min="9440" max="9441" width="0" style="24" hidden="1" customWidth="1"/>
    <col min="9442" max="9442" width="8.85546875" style="24" bestFit="1" customWidth="1"/>
    <col min="9443" max="9680" width="11.42578125" style="24"/>
    <col min="9681" max="9681" width="5.28515625" style="24" customWidth="1"/>
    <col min="9682" max="9682" width="25.42578125" style="24" customWidth="1"/>
    <col min="9683" max="9683" width="14" style="24" customWidth="1"/>
    <col min="9684" max="9684" width="9.28515625" style="24" customWidth="1"/>
    <col min="9685" max="9685" width="12" style="24" customWidth="1"/>
    <col min="9686" max="9686" width="12.140625" style="24" customWidth="1"/>
    <col min="9687" max="9687" width="10.7109375" style="24" customWidth="1"/>
    <col min="9688" max="9688" width="10.42578125" style="24" customWidth="1"/>
    <col min="9689" max="9689" width="10.5703125" style="24" customWidth="1"/>
    <col min="9690" max="9690" width="12.5703125" style="24" customWidth="1"/>
    <col min="9691" max="9691" width="12" style="24" customWidth="1"/>
    <col min="9692" max="9692" width="12.28515625" style="24" customWidth="1"/>
    <col min="9693" max="9693" width="0" style="24" hidden="1" customWidth="1"/>
    <col min="9694" max="9694" width="12.42578125" style="24" customWidth="1"/>
    <col min="9695" max="9695" width="11.28515625" style="24" customWidth="1"/>
    <col min="9696" max="9697" width="0" style="24" hidden="1" customWidth="1"/>
    <col min="9698" max="9698" width="8.85546875" style="24" bestFit="1" customWidth="1"/>
    <col min="9699" max="9936" width="11.42578125" style="24"/>
    <col min="9937" max="9937" width="5.28515625" style="24" customWidth="1"/>
    <col min="9938" max="9938" width="25.42578125" style="24" customWidth="1"/>
    <col min="9939" max="9939" width="14" style="24" customWidth="1"/>
    <col min="9940" max="9940" width="9.28515625" style="24" customWidth="1"/>
    <col min="9941" max="9941" width="12" style="24" customWidth="1"/>
    <col min="9942" max="9942" width="12.140625" style="24" customWidth="1"/>
    <col min="9943" max="9943" width="10.7109375" style="24" customWidth="1"/>
    <col min="9944" max="9944" width="10.42578125" style="24" customWidth="1"/>
    <col min="9945" max="9945" width="10.5703125" style="24" customWidth="1"/>
    <col min="9946" max="9946" width="12.5703125" style="24" customWidth="1"/>
    <col min="9947" max="9947" width="12" style="24" customWidth="1"/>
    <col min="9948" max="9948" width="12.28515625" style="24" customWidth="1"/>
    <col min="9949" max="9949" width="0" style="24" hidden="1" customWidth="1"/>
    <col min="9950" max="9950" width="12.42578125" style="24" customWidth="1"/>
    <col min="9951" max="9951" width="11.28515625" style="24" customWidth="1"/>
    <col min="9952" max="9953" width="0" style="24" hidden="1" customWidth="1"/>
    <col min="9954" max="9954" width="8.85546875" style="24" bestFit="1" customWidth="1"/>
    <col min="9955" max="10192" width="11.42578125" style="24"/>
    <col min="10193" max="10193" width="5.28515625" style="24" customWidth="1"/>
    <col min="10194" max="10194" width="25.42578125" style="24" customWidth="1"/>
    <col min="10195" max="10195" width="14" style="24" customWidth="1"/>
    <col min="10196" max="10196" width="9.28515625" style="24" customWidth="1"/>
    <col min="10197" max="10197" width="12" style="24" customWidth="1"/>
    <col min="10198" max="10198" width="12.140625" style="24" customWidth="1"/>
    <col min="10199" max="10199" width="10.7109375" style="24" customWidth="1"/>
    <col min="10200" max="10200" width="10.42578125" style="24" customWidth="1"/>
    <col min="10201" max="10201" width="10.5703125" style="24" customWidth="1"/>
    <col min="10202" max="10202" width="12.5703125" style="24" customWidth="1"/>
    <col min="10203" max="10203" width="12" style="24" customWidth="1"/>
    <col min="10204" max="10204" width="12.28515625" style="24" customWidth="1"/>
    <col min="10205" max="10205" width="0" style="24" hidden="1" customWidth="1"/>
    <col min="10206" max="10206" width="12.42578125" style="24" customWidth="1"/>
    <col min="10207" max="10207" width="11.28515625" style="24" customWidth="1"/>
    <col min="10208" max="10209" width="0" style="24" hidden="1" customWidth="1"/>
    <col min="10210" max="10210" width="8.85546875" style="24" bestFit="1" customWidth="1"/>
    <col min="10211" max="10448" width="11.42578125" style="24"/>
    <col min="10449" max="10449" width="5.28515625" style="24" customWidth="1"/>
    <col min="10450" max="10450" width="25.42578125" style="24" customWidth="1"/>
    <col min="10451" max="10451" width="14" style="24" customWidth="1"/>
    <col min="10452" max="10452" width="9.28515625" style="24" customWidth="1"/>
    <col min="10453" max="10453" width="12" style="24" customWidth="1"/>
    <col min="10454" max="10454" width="12.140625" style="24" customWidth="1"/>
    <col min="10455" max="10455" width="10.7109375" style="24" customWidth="1"/>
    <col min="10456" max="10456" width="10.42578125" style="24" customWidth="1"/>
    <col min="10457" max="10457" width="10.5703125" style="24" customWidth="1"/>
    <col min="10458" max="10458" width="12.5703125" style="24" customWidth="1"/>
    <col min="10459" max="10459" width="12" style="24" customWidth="1"/>
    <col min="10460" max="10460" width="12.28515625" style="24" customWidth="1"/>
    <col min="10461" max="10461" width="0" style="24" hidden="1" customWidth="1"/>
    <col min="10462" max="10462" width="12.42578125" style="24" customWidth="1"/>
    <col min="10463" max="10463" width="11.28515625" style="24" customWidth="1"/>
    <col min="10464" max="10465" width="0" style="24" hidden="1" customWidth="1"/>
    <col min="10466" max="10466" width="8.85546875" style="24" bestFit="1" customWidth="1"/>
    <col min="10467" max="10704" width="11.42578125" style="24"/>
    <col min="10705" max="10705" width="5.28515625" style="24" customWidth="1"/>
    <col min="10706" max="10706" width="25.42578125" style="24" customWidth="1"/>
    <col min="10707" max="10707" width="14" style="24" customWidth="1"/>
    <col min="10708" max="10708" width="9.28515625" style="24" customWidth="1"/>
    <col min="10709" max="10709" width="12" style="24" customWidth="1"/>
    <col min="10710" max="10710" width="12.140625" style="24" customWidth="1"/>
    <col min="10711" max="10711" width="10.7109375" style="24" customWidth="1"/>
    <col min="10712" max="10712" width="10.42578125" style="24" customWidth="1"/>
    <col min="10713" max="10713" width="10.5703125" style="24" customWidth="1"/>
    <col min="10714" max="10714" width="12.5703125" style="24" customWidth="1"/>
    <col min="10715" max="10715" width="12" style="24" customWidth="1"/>
    <col min="10716" max="10716" width="12.28515625" style="24" customWidth="1"/>
    <col min="10717" max="10717" width="0" style="24" hidden="1" customWidth="1"/>
    <col min="10718" max="10718" width="12.42578125" style="24" customWidth="1"/>
    <col min="10719" max="10719" width="11.28515625" style="24" customWidth="1"/>
    <col min="10720" max="10721" width="0" style="24" hidden="1" customWidth="1"/>
    <col min="10722" max="10722" width="8.85546875" style="24" bestFit="1" customWidth="1"/>
    <col min="10723" max="10960" width="11.42578125" style="24"/>
    <col min="10961" max="10961" width="5.28515625" style="24" customWidth="1"/>
    <col min="10962" max="10962" width="25.42578125" style="24" customWidth="1"/>
    <col min="10963" max="10963" width="14" style="24" customWidth="1"/>
    <col min="10964" max="10964" width="9.28515625" style="24" customWidth="1"/>
    <col min="10965" max="10965" width="12" style="24" customWidth="1"/>
    <col min="10966" max="10966" width="12.140625" style="24" customWidth="1"/>
    <col min="10967" max="10967" width="10.7109375" style="24" customWidth="1"/>
    <col min="10968" max="10968" width="10.42578125" style="24" customWidth="1"/>
    <col min="10969" max="10969" width="10.5703125" style="24" customWidth="1"/>
    <col min="10970" max="10970" width="12.5703125" style="24" customWidth="1"/>
    <col min="10971" max="10971" width="12" style="24" customWidth="1"/>
    <col min="10972" max="10972" width="12.28515625" style="24" customWidth="1"/>
    <col min="10973" max="10973" width="0" style="24" hidden="1" customWidth="1"/>
    <col min="10974" max="10974" width="12.42578125" style="24" customWidth="1"/>
    <col min="10975" max="10975" width="11.28515625" style="24" customWidth="1"/>
    <col min="10976" max="10977" width="0" style="24" hidden="1" customWidth="1"/>
    <col min="10978" max="10978" width="8.85546875" style="24" bestFit="1" customWidth="1"/>
    <col min="10979" max="11216" width="11.42578125" style="24"/>
    <col min="11217" max="11217" width="5.28515625" style="24" customWidth="1"/>
    <col min="11218" max="11218" width="25.42578125" style="24" customWidth="1"/>
    <col min="11219" max="11219" width="14" style="24" customWidth="1"/>
    <col min="11220" max="11220" width="9.28515625" style="24" customWidth="1"/>
    <col min="11221" max="11221" width="12" style="24" customWidth="1"/>
    <col min="11222" max="11222" width="12.140625" style="24" customWidth="1"/>
    <col min="11223" max="11223" width="10.7109375" style="24" customWidth="1"/>
    <col min="11224" max="11224" width="10.42578125" style="24" customWidth="1"/>
    <col min="11225" max="11225" width="10.5703125" style="24" customWidth="1"/>
    <col min="11226" max="11226" width="12.5703125" style="24" customWidth="1"/>
    <col min="11227" max="11227" width="12" style="24" customWidth="1"/>
    <col min="11228" max="11228" width="12.28515625" style="24" customWidth="1"/>
    <col min="11229" max="11229" width="0" style="24" hidden="1" customWidth="1"/>
    <col min="11230" max="11230" width="12.42578125" style="24" customWidth="1"/>
    <col min="11231" max="11231" width="11.28515625" style="24" customWidth="1"/>
    <col min="11232" max="11233" width="0" style="24" hidden="1" customWidth="1"/>
    <col min="11234" max="11234" width="8.85546875" style="24" bestFit="1" customWidth="1"/>
    <col min="11235" max="11472" width="11.42578125" style="24"/>
    <col min="11473" max="11473" width="5.28515625" style="24" customWidth="1"/>
    <col min="11474" max="11474" width="25.42578125" style="24" customWidth="1"/>
    <col min="11475" max="11475" width="14" style="24" customWidth="1"/>
    <col min="11476" max="11476" width="9.28515625" style="24" customWidth="1"/>
    <col min="11477" max="11477" width="12" style="24" customWidth="1"/>
    <col min="11478" max="11478" width="12.140625" style="24" customWidth="1"/>
    <col min="11479" max="11479" width="10.7109375" style="24" customWidth="1"/>
    <col min="11480" max="11480" width="10.42578125" style="24" customWidth="1"/>
    <col min="11481" max="11481" width="10.5703125" style="24" customWidth="1"/>
    <col min="11482" max="11482" width="12.5703125" style="24" customWidth="1"/>
    <col min="11483" max="11483" width="12" style="24" customWidth="1"/>
    <col min="11484" max="11484" width="12.28515625" style="24" customWidth="1"/>
    <col min="11485" max="11485" width="0" style="24" hidden="1" customWidth="1"/>
    <col min="11486" max="11486" width="12.42578125" style="24" customWidth="1"/>
    <col min="11487" max="11487" width="11.28515625" style="24" customWidth="1"/>
    <col min="11488" max="11489" width="0" style="24" hidden="1" customWidth="1"/>
    <col min="11490" max="11490" width="8.85546875" style="24" bestFit="1" customWidth="1"/>
    <col min="11491" max="11728" width="11.42578125" style="24"/>
    <col min="11729" max="11729" width="5.28515625" style="24" customWidth="1"/>
    <col min="11730" max="11730" width="25.42578125" style="24" customWidth="1"/>
    <col min="11731" max="11731" width="14" style="24" customWidth="1"/>
    <col min="11732" max="11732" width="9.28515625" style="24" customWidth="1"/>
    <col min="11733" max="11733" width="12" style="24" customWidth="1"/>
    <col min="11734" max="11734" width="12.140625" style="24" customWidth="1"/>
    <col min="11735" max="11735" width="10.7109375" style="24" customWidth="1"/>
    <col min="11736" max="11736" width="10.42578125" style="24" customWidth="1"/>
    <col min="11737" max="11737" width="10.5703125" style="24" customWidth="1"/>
    <col min="11738" max="11738" width="12.5703125" style="24" customWidth="1"/>
    <col min="11739" max="11739" width="12" style="24" customWidth="1"/>
    <col min="11740" max="11740" width="12.28515625" style="24" customWidth="1"/>
    <col min="11741" max="11741" width="0" style="24" hidden="1" customWidth="1"/>
    <col min="11742" max="11742" width="12.42578125" style="24" customWidth="1"/>
    <col min="11743" max="11743" width="11.28515625" style="24" customWidth="1"/>
    <col min="11744" max="11745" width="0" style="24" hidden="1" customWidth="1"/>
    <col min="11746" max="11746" width="8.85546875" style="24" bestFit="1" customWidth="1"/>
    <col min="11747" max="11984" width="11.42578125" style="24"/>
    <col min="11985" max="11985" width="5.28515625" style="24" customWidth="1"/>
    <col min="11986" max="11986" width="25.42578125" style="24" customWidth="1"/>
    <col min="11987" max="11987" width="14" style="24" customWidth="1"/>
    <col min="11988" max="11988" width="9.28515625" style="24" customWidth="1"/>
    <col min="11989" max="11989" width="12" style="24" customWidth="1"/>
    <col min="11990" max="11990" width="12.140625" style="24" customWidth="1"/>
    <col min="11991" max="11991" width="10.7109375" style="24" customWidth="1"/>
    <col min="11992" max="11992" width="10.42578125" style="24" customWidth="1"/>
    <col min="11993" max="11993" width="10.5703125" style="24" customWidth="1"/>
    <col min="11994" max="11994" width="12.5703125" style="24" customWidth="1"/>
    <col min="11995" max="11995" width="12" style="24" customWidth="1"/>
    <col min="11996" max="11996" width="12.28515625" style="24" customWidth="1"/>
    <col min="11997" max="11997" width="0" style="24" hidden="1" customWidth="1"/>
    <col min="11998" max="11998" width="12.42578125" style="24" customWidth="1"/>
    <col min="11999" max="11999" width="11.28515625" style="24" customWidth="1"/>
    <col min="12000" max="12001" width="0" style="24" hidden="1" customWidth="1"/>
    <col min="12002" max="12002" width="8.85546875" style="24" bestFit="1" customWidth="1"/>
    <col min="12003" max="12240" width="11.42578125" style="24"/>
    <col min="12241" max="12241" width="5.28515625" style="24" customWidth="1"/>
    <col min="12242" max="12242" width="25.42578125" style="24" customWidth="1"/>
    <col min="12243" max="12243" width="14" style="24" customWidth="1"/>
    <col min="12244" max="12244" width="9.28515625" style="24" customWidth="1"/>
    <col min="12245" max="12245" width="12" style="24" customWidth="1"/>
    <col min="12246" max="12246" width="12.140625" style="24" customWidth="1"/>
    <col min="12247" max="12247" width="10.7109375" style="24" customWidth="1"/>
    <col min="12248" max="12248" width="10.42578125" style="24" customWidth="1"/>
    <col min="12249" max="12249" width="10.5703125" style="24" customWidth="1"/>
    <col min="12250" max="12250" width="12.5703125" style="24" customWidth="1"/>
    <col min="12251" max="12251" width="12" style="24" customWidth="1"/>
    <col min="12252" max="12252" width="12.28515625" style="24" customWidth="1"/>
    <col min="12253" max="12253" width="0" style="24" hidden="1" customWidth="1"/>
    <col min="12254" max="12254" width="12.42578125" style="24" customWidth="1"/>
    <col min="12255" max="12255" width="11.28515625" style="24" customWidth="1"/>
    <col min="12256" max="12257" width="0" style="24" hidden="1" customWidth="1"/>
    <col min="12258" max="12258" width="8.85546875" style="24" bestFit="1" customWidth="1"/>
    <col min="12259" max="12496" width="11.42578125" style="24"/>
    <col min="12497" max="12497" width="5.28515625" style="24" customWidth="1"/>
    <col min="12498" max="12498" width="25.42578125" style="24" customWidth="1"/>
    <col min="12499" max="12499" width="14" style="24" customWidth="1"/>
    <col min="12500" max="12500" width="9.28515625" style="24" customWidth="1"/>
    <col min="12501" max="12501" width="12" style="24" customWidth="1"/>
    <col min="12502" max="12502" width="12.140625" style="24" customWidth="1"/>
    <col min="12503" max="12503" width="10.7109375" style="24" customWidth="1"/>
    <col min="12504" max="12504" width="10.42578125" style="24" customWidth="1"/>
    <col min="12505" max="12505" width="10.5703125" style="24" customWidth="1"/>
    <col min="12506" max="12506" width="12.5703125" style="24" customWidth="1"/>
    <col min="12507" max="12507" width="12" style="24" customWidth="1"/>
    <col min="12508" max="12508" width="12.28515625" style="24" customWidth="1"/>
    <col min="12509" max="12509" width="0" style="24" hidden="1" customWidth="1"/>
    <col min="12510" max="12510" width="12.42578125" style="24" customWidth="1"/>
    <col min="12511" max="12511" width="11.28515625" style="24" customWidth="1"/>
    <col min="12512" max="12513" width="0" style="24" hidden="1" customWidth="1"/>
    <col min="12514" max="12514" width="8.85546875" style="24" bestFit="1" customWidth="1"/>
    <col min="12515" max="12752" width="11.42578125" style="24"/>
    <col min="12753" max="12753" width="5.28515625" style="24" customWidth="1"/>
    <col min="12754" max="12754" width="25.42578125" style="24" customWidth="1"/>
    <col min="12755" max="12755" width="14" style="24" customWidth="1"/>
    <col min="12756" max="12756" width="9.28515625" style="24" customWidth="1"/>
    <col min="12757" max="12757" width="12" style="24" customWidth="1"/>
    <col min="12758" max="12758" width="12.140625" style="24" customWidth="1"/>
    <col min="12759" max="12759" width="10.7109375" style="24" customWidth="1"/>
    <col min="12760" max="12760" width="10.42578125" style="24" customWidth="1"/>
    <col min="12761" max="12761" width="10.5703125" style="24" customWidth="1"/>
    <col min="12762" max="12762" width="12.5703125" style="24" customWidth="1"/>
    <col min="12763" max="12763" width="12" style="24" customWidth="1"/>
    <col min="12764" max="12764" width="12.28515625" style="24" customWidth="1"/>
    <col min="12765" max="12765" width="0" style="24" hidden="1" customWidth="1"/>
    <col min="12766" max="12766" width="12.42578125" style="24" customWidth="1"/>
    <col min="12767" max="12767" width="11.28515625" style="24" customWidth="1"/>
    <col min="12768" max="12769" width="0" style="24" hidden="1" customWidth="1"/>
    <col min="12770" max="12770" width="8.85546875" style="24" bestFit="1" customWidth="1"/>
    <col min="12771" max="13008" width="11.42578125" style="24"/>
    <col min="13009" max="13009" width="5.28515625" style="24" customWidth="1"/>
    <col min="13010" max="13010" width="25.42578125" style="24" customWidth="1"/>
    <col min="13011" max="13011" width="14" style="24" customWidth="1"/>
    <col min="13012" max="13012" width="9.28515625" style="24" customWidth="1"/>
    <col min="13013" max="13013" width="12" style="24" customWidth="1"/>
    <col min="13014" max="13014" width="12.140625" style="24" customWidth="1"/>
    <col min="13015" max="13015" width="10.7109375" style="24" customWidth="1"/>
    <col min="13016" max="13016" width="10.42578125" style="24" customWidth="1"/>
    <col min="13017" max="13017" width="10.5703125" style="24" customWidth="1"/>
    <col min="13018" max="13018" width="12.5703125" style="24" customWidth="1"/>
    <col min="13019" max="13019" width="12" style="24" customWidth="1"/>
    <col min="13020" max="13020" width="12.28515625" style="24" customWidth="1"/>
    <col min="13021" max="13021" width="0" style="24" hidden="1" customWidth="1"/>
    <col min="13022" max="13022" width="12.42578125" style="24" customWidth="1"/>
    <col min="13023" max="13023" width="11.28515625" style="24" customWidth="1"/>
    <col min="13024" max="13025" width="0" style="24" hidden="1" customWidth="1"/>
    <col min="13026" max="13026" width="8.85546875" style="24" bestFit="1" customWidth="1"/>
    <col min="13027" max="13264" width="11.42578125" style="24"/>
    <col min="13265" max="13265" width="5.28515625" style="24" customWidth="1"/>
    <col min="13266" max="13266" width="25.42578125" style="24" customWidth="1"/>
    <col min="13267" max="13267" width="14" style="24" customWidth="1"/>
    <col min="13268" max="13268" width="9.28515625" style="24" customWidth="1"/>
    <col min="13269" max="13269" width="12" style="24" customWidth="1"/>
    <col min="13270" max="13270" width="12.140625" style="24" customWidth="1"/>
    <col min="13271" max="13271" width="10.7109375" style="24" customWidth="1"/>
    <col min="13272" max="13272" width="10.42578125" style="24" customWidth="1"/>
    <col min="13273" max="13273" width="10.5703125" style="24" customWidth="1"/>
    <col min="13274" max="13274" width="12.5703125" style="24" customWidth="1"/>
    <col min="13275" max="13275" width="12" style="24" customWidth="1"/>
    <col min="13276" max="13276" width="12.28515625" style="24" customWidth="1"/>
    <col min="13277" max="13277" width="0" style="24" hidden="1" customWidth="1"/>
    <col min="13278" max="13278" width="12.42578125" style="24" customWidth="1"/>
    <col min="13279" max="13279" width="11.28515625" style="24" customWidth="1"/>
    <col min="13280" max="13281" width="0" style="24" hidden="1" customWidth="1"/>
    <col min="13282" max="13282" width="8.85546875" style="24" bestFit="1" customWidth="1"/>
    <col min="13283" max="13520" width="11.42578125" style="24"/>
    <col min="13521" max="13521" width="5.28515625" style="24" customWidth="1"/>
    <col min="13522" max="13522" width="25.42578125" style="24" customWidth="1"/>
    <col min="13523" max="13523" width="14" style="24" customWidth="1"/>
    <col min="13524" max="13524" width="9.28515625" style="24" customWidth="1"/>
    <col min="13525" max="13525" width="12" style="24" customWidth="1"/>
    <col min="13526" max="13526" width="12.140625" style="24" customWidth="1"/>
    <col min="13527" max="13527" width="10.7109375" style="24" customWidth="1"/>
    <col min="13528" max="13528" width="10.42578125" style="24" customWidth="1"/>
    <col min="13529" max="13529" width="10.5703125" style="24" customWidth="1"/>
    <col min="13530" max="13530" width="12.5703125" style="24" customWidth="1"/>
    <col min="13531" max="13531" width="12" style="24" customWidth="1"/>
    <col min="13532" max="13532" width="12.28515625" style="24" customWidth="1"/>
    <col min="13533" max="13533" width="0" style="24" hidden="1" customWidth="1"/>
    <col min="13534" max="13534" width="12.42578125" style="24" customWidth="1"/>
    <col min="13535" max="13535" width="11.28515625" style="24" customWidth="1"/>
    <col min="13536" max="13537" width="0" style="24" hidden="1" customWidth="1"/>
    <col min="13538" max="13538" width="8.85546875" style="24" bestFit="1" customWidth="1"/>
    <col min="13539" max="13776" width="11.42578125" style="24"/>
    <col min="13777" max="13777" width="5.28515625" style="24" customWidth="1"/>
    <col min="13778" max="13778" width="25.42578125" style="24" customWidth="1"/>
    <col min="13779" max="13779" width="14" style="24" customWidth="1"/>
    <col min="13780" max="13780" width="9.28515625" style="24" customWidth="1"/>
    <col min="13781" max="13781" width="12" style="24" customWidth="1"/>
    <col min="13782" max="13782" width="12.140625" style="24" customWidth="1"/>
    <col min="13783" max="13783" width="10.7109375" style="24" customWidth="1"/>
    <col min="13784" max="13784" width="10.42578125" style="24" customWidth="1"/>
    <col min="13785" max="13785" width="10.5703125" style="24" customWidth="1"/>
    <col min="13786" max="13786" width="12.5703125" style="24" customWidth="1"/>
    <col min="13787" max="13787" width="12" style="24" customWidth="1"/>
    <col min="13788" max="13788" width="12.28515625" style="24" customWidth="1"/>
    <col min="13789" max="13789" width="0" style="24" hidden="1" customWidth="1"/>
    <col min="13790" max="13790" width="12.42578125" style="24" customWidth="1"/>
    <col min="13791" max="13791" width="11.28515625" style="24" customWidth="1"/>
    <col min="13792" max="13793" width="0" style="24" hidden="1" customWidth="1"/>
    <col min="13794" max="13794" width="8.85546875" style="24" bestFit="1" customWidth="1"/>
    <col min="13795" max="14032" width="11.42578125" style="24"/>
    <col min="14033" max="14033" width="5.28515625" style="24" customWidth="1"/>
    <col min="14034" max="14034" width="25.42578125" style="24" customWidth="1"/>
    <col min="14035" max="14035" width="14" style="24" customWidth="1"/>
    <col min="14036" max="14036" width="9.28515625" style="24" customWidth="1"/>
    <col min="14037" max="14037" width="12" style="24" customWidth="1"/>
    <col min="14038" max="14038" width="12.140625" style="24" customWidth="1"/>
    <col min="14039" max="14039" width="10.7109375" style="24" customWidth="1"/>
    <col min="14040" max="14040" width="10.42578125" style="24" customWidth="1"/>
    <col min="14041" max="14041" width="10.5703125" style="24" customWidth="1"/>
    <col min="14042" max="14042" width="12.5703125" style="24" customWidth="1"/>
    <col min="14043" max="14043" width="12" style="24" customWidth="1"/>
    <col min="14044" max="14044" width="12.28515625" style="24" customWidth="1"/>
    <col min="14045" max="14045" width="0" style="24" hidden="1" customWidth="1"/>
    <col min="14046" max="14046" width="12.42578125" style="24" customWidth="1"/>
    <col min="14047" max="14047" width="11.28515625" style="24" customWidth="1"/>
    <col min="14048" max="14049" width="0" style="24" hidden="1" customWidth="1"/>
    <col min="14050" max="14050" width="8.85546875" style="24" bestFit="1" customWidth="1"/>
    <col min="14051" max="14288" width="11.42578125" style="24"/>
    <col min="14289" max="14289" width="5.28515625" style="24" customWidth="1"/>
    <col min="14290" max="14290" width="25.42578125" style="24" customWidth="1"/>
    <col min="14291" max="14291" width="14" style="24" customWidth="1"/>
    <col min="14292" max="14292" width="9.28515625" style="24" customWidth="1"/>
    <col min="14293" max="14293" width="12" style="24" customWidth="1"/>
    <col min="14294" max="14294" width="12.140625" style="24" customWidth="1"/>
    <col min="14295" max="14295" width="10.7109375" style="24" customWidth="1"/>
    <col min="14296" max="14296" width="10.42578125" style="24" customWidth="1"/>
    <col min="14297" max="14297" width="10.5703125" style="24" customWidth="1"/>
    <col min="14298" max="14298" width="12.5703125" style="24" customWidth="1"/>
    <col min="14299" max="14299" width="12" style="24" customWidth="1"/>
    <col min="14300" max="14300" width="12.28515625" style="24" customWidth="1"/>
    <col min="14301" max="14301" width="0" style="24" hidden="1" customWidth="1"/>
    <col min="14302" max="14302" width="12.42578125" style="24" customWidth="1"/>
    <col min="14303" max="14303" width="11.28515625" style="24" customWidth="1"/>
    <col min="14304" max="14305" width="0" style="24" hidden="1" customWidth="1"/>
    <col min="14306" max="14306" width="8.85546875" style="24" bestFit="1" customWidth="1"/>
    <col min="14307" max="14544" width="11.42578125" style="24"/>
    <col min="14545" max="14545" width="5.28515625" style="24" customWidth="1"/>
    <col min="14546" max="14546" width="25.42578125" style="24" customWidth="1"/>
    <col min="14547" max="14547" width="14" style="24" customWidth="1"/>
    <col min="14548" max="14548" width="9.28515625" style="24" customWidth="1"/>
    <col min="14549" max="14549" width="12" style="24" customWidth="1"/>
    <col min="14550" max="14550" width="12.140625" style="24" customWidth="1"/>
    <col min="14551" max="14551" width="10.7109375" style="24" customWidth="1"/>
    <col min="14552" max="14552" width="10.42578125" style="24" customWidth="1"/>
    <col min="14553" max="14553" width="10.5703125" style="24" customWidth="1"/>
    <col min="14554" max="14554" width="12.5703125" style="24" customWidth="1"/>
    <col min="14555" max="14555" width="12" style="24" customWidth="1"/>
    <col min="14556" max="14556" width="12.28515625" style="24" customWidth="1"/>
    <col min="14557" max="14557" width="0" style="24" hidden="1" customWidth="1"/>
    <col min="14558" max="14558" width="12.42578125" style="24" customWidth="1"/>
    <col min="14559" max="14559" width="11.28515625" style="24" customWidth="1"/>
    <col min="14560" max="14561" width="0" style="24" hidden="1" customWidth="1"/>
    <col min="14562" max="14562" width="8.85546875" style="24" bestFit="1" customWidth="1"/>
    <col min="14563" max="14800" width="11.42578125" style="24"/>
    <col min="14801" max="14801" width="5.28515625" style="24" customWidth="1"/>
    <col min="14802" max="14802" width="25.42578125" style="24" customWidth="1"/>
    <col min="14803" max="14803" width="14" style="24" customWidth="1"/>
    <col min="14804" max="14804" width="9.28515625" style="24" customWidth="1"/>
    <col min="14805" max="14805" width="12" style="24" customWidth="1"/>
    <col min="14806" max="14806" width="12.140625" style="24" customWidth="1"/>
    <col min="14807" max="14807" width="10.7109375" style="24" customWidth="1"/>
    <col min="14808" max="14808" width="10.42578125" style="24" customWidth="1"/>
    <col min="14809" max="14809" width="10.5703125" style="24" customWidth="1"/>
    <col min="14810" max="14810" width="12.5703125" style="24" customWidth="1"/>
    <col min="14811" max="14811" width="12" style="24" customWidth="1"/>
    <col min="14812" max="14812" width="12.28515625" style="24" customWidth="1"/>
    <col min="14813" max="14813" width="0" style="24" hidden="1" customWidth="1"/>
    <col min="14814" max="14814" width="12.42578125" style="24" customWidth="1"/>
    <col min="14815" max="14815" width="11.28515625" style="24" customWidth="1"/>
    <col min="14816" max="14817" width="0" style="24" hidden="1" customWidth="1"/>
    <col min="14818" max="14818" width="8.85546875" style="24" bestFit="1" customWidth="1"/>
    <col min="14819" max="15056" width="11.42578125" style="24"/>
    <col min="15057" max="15057" width="5.28515625" style="24" customWidth="1"/>
    <col min="15058" max="15058" width="25.42578125" style="24" customWidth="1"/>
    <col min="15059" max="15059" width="14" style="24" customWidth="1"/>
    <col min="15060" max="15060" width="9.28515625" style="24" customWidth="1"/>
    <col min="15061" max="15061" width="12" style="24" customWidth="1"/>
    <col min="15062" max="15062" width="12.140625" style="24" customWidth="1"/>
    <col min="15063" max="15063" width="10.7109375" style="24" customWidth="1"/>
    <col min="15064" max="15064" width="10.42578125" style="24" customWidth="1"/>
    <col min="15065" max="15065" width="10.5703125" style="24" customWidth="1"/>
    <col min="15066" max="15066" width="12.5703125" style="24" customWidth="1"/>
    <col min="15067" max="15067" width="12" style="24" customWidth="1"/>
    <col min="15068" max="15068" width="12.28515625" style="24" customWidth="1"/>
    <col min="15069" max="15069" width="0" style="24" hidden="1" customWidth="1"/>
    <col min="15070" max="15070" width="12.42578125" style="24" customWidth="1"/>
    <col min="15071" max="15071" width="11.28515625" style="24" customWidth="1"/>
    <col min="15072" max="15073" width="0" style="24" hidden="1" customWidth="1"/>
    <col min="15074" max="15074" width="8.85546875" style="24" bestFit="1" customWidth="1"/>
    <col min="15075" max="15312" width="11.42578125" style="24"/>
    <col min="15313" max="15313" width="5.28515625" style="24" customWidth="1"/>
    <col min="15314" max="15314" width="25.42578125" style="24" customWidth="1"/>
    <col min="15315" max="15315" width="14" style="24" customWidth="1"/>
    <col min="15316" max="15316" width="9.28515625" style="24" customWidth="1"/>
    <col min="15317" max="15317" width="12" style="24" customWidth="1"/>
    <col min="15318" max="15318" width="12.140625" style="24" customWidth="1"/>
    <col min="15319" max="15319" width="10.7109375" style="24" customWidth="1"/>
    <col min="15320" max="15320" width="10.42578125" style="24" customWidth="1"/>
    <col min="15321" max="15321" width="10.5703125" style="24" customWidth="1"/>
    <col min="15322" max="15322" width="12.5703125" style="24" customWidth="1"/>
    <col min="15323" max="15323" width="12" style="24" customWidth="1"/>
    <col min="15324" max="15324" width="12.28515625" style="24" customWidth="1"/>
    <col min="15325" max="15325" width="0" style="24" hidden="1" customWidth="1"/>
    <col min="15326" max="15326" width="12.42578125" style="24" customWidth="1"/>
    <col min="15327" max="15327" width="11.28515625" style="24" customWidth="1"/>
    <col min="15328" max="15329" width="0" style="24" hidden="1" customWidth="1"/>
    <col min="15330" max="15330" width="8.85546875" style="24" bestFit="1" customWidth="1"/>
    <col min="15331" max="15568" width="11.42578125" style="24"/>
    <col min="15569" max="15569" width="5.28515625" style="24" customWidth="1"/>
    <col min="15570" max="15570" width="25.42578125" style="24" customWidth="1"/>
    <col min="15571" max="15571" width="14" style="24" customWidth="1"/>
    <col min="15572" max="15572" width="9.28515625" style="24" customWidth="1"/>
    <col min="15573" max="15573" width="12" style="24" customWidth="1"/>
    <col min="15574" max="15574" width="12.140625" style="24" customWidth="1"/>
    <col min="15575" max="15575" width="10.7109375" style="24" customWidth="1"/>
    <col min="15576" max="15576" width="10.42578125" style="24" customWidth="1"/>
    <col min="15577" max="15577" width="10.5703125" style="24" customWidth="1"/>
    <col min="15578" max="15578" width="12.5703125" style="24" customWidth="1"/>
    <col min="15579" max="15579" width="12" style="24" customWidth="1"/>
    <col min="15580" max="15580" width="12.28515625" style="24" customWidth="1"/>
    <col min="15581" max="15581" width="0" style="24" hidden="1" customWidth="1"/>
    <col min="15582" max="15582" width="12.42578125" style="24" customWidth="1"/>
    <col min="15583" max="15583" width="11.28515625" style="24" customWidth="1"/>
    <col min="15584" max="15585" width="0" style="24" hidden="1" customWidth="1"/>
    <col min="15586" max="15586" width="8.85546875" style="24" bestFit="1" customWidth="1"/>
    <col min="15587" max="15824" width="11.42578125" style="24"/>
    <col min="15825" max="15825" width="5.28515625" style="24" customWidth="1"/>
    <col min="15826" max="15826" width="25.42578125" style="24" customWidth="1"/>
    <col min="15827" max="15827" width="14" style="24" customWidth="1"/>
    <col min="15828" max="15828" width="9.28515625" style="24" customWidth="1"/>
    <col min="15829" max="15829" width="12" style="24" customWidth="1"/>
    <col min="15830" max="15830" width="12.140625" style="24" customWidth="1"/>
    <col min="15831" max="15831" width="10.7109375" style="24" customWidth="1"/>
    <col min="15832" max="15832" width="10.42578125" style="24" customWidth="1"/>
    <col min="15833" max="15833" width="10.5703125" style="24" customWidth="1"/>
    <col min="15834" max="15834" width="12.5703125" style="24" customWidth="1"/>
    <col min="15835" max="15835" width="12" style="24" customWidth="1"/>
    <col min="15836" max="15836" width="12.28515625" style="24" customWidth="1"/>
    <col min="15837" max="15837" width="0" style="24" hidden="1" customWidth="1"/>
    <col min="15838" max="15838" width="12.42578125" style="24" customWidth="1"/>
    <col min="15839" max="15839" width="11.28515625" style="24" customWidth="1"/>
    <col min="15840" max="15841" width="0" style="24" hidden="1" customWidth="1"/>
    <col min="15842" max="15842" width="8.85546875" style="24" bestFit="1" customWidth="1"/>
    <col min="15843" max="16080" width="11.42578125" style="24"/>
    <col min="16081" max="16081" width="5.28515625" style="24" customWidth="1"/>
    <col min="16082" max="16082" width="25.42578125" style="24" customWidth="1"/>
    <col min="16083" max="16083" width="14" style="24" customWidth="1"/>
    <col min="16084" max="16084" width="9.28515625" style="24" customWidth="1"/>
    <col min="16085" max="16085" width="12" style="24" customWidth="1"/>
    <col min="16086" max="16086" width="12.140625" style="24" customWidth="1"/>
    <col min="16087" max="16087" width="10.7109375" style="24" customWidth="1"/>
    <col min="16088" max="16088" width="10.42578125" style="24" customWidth="1"/>
    <col min="16089" max="16089" width="10.5703125" style="24" customWidth="1"/>
    <col min="16090" max="16090" width="12.5703125" style="24" customWidth="1"/>
    <col min="16091" max="16091" width="12" style="24" customWidth="1"/>
    <col min="16092" max="16092" width="12.28515625" style="24" customWidth="1"/>
    <col min="16093" max="16093" width="0" style="24" hidden="1" customWidth="1"/>
    <col min="16094" max="16094" width="12.42578125" style="24" customWidth="1"/>
    <col min="16095" max="16095" width="11.28515625" style="24" customWidth="1"/>
    <col min="16096" max="16097" width="0" style="24" hidden="1" customWidth="1"/>
    <col min="16098" max="16098" width="8.85546875" style="24" bestFit="1" customWidth="1"/>
    <col min="16099" max="16384" width="11.42578125" style="24"/>
  </cols>
  <sheetData>
    <row r="1" spans="1:19" s="22" customFormat="1" ht="29.45" customHeight="1" x14ac:dyDescent="0.2">
      <c r="A1" s="223" t="s">
        <v>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9" s="22" customFormat="1" ht="21" customHeight="1" x14ac:dyDescent="0.2">
      <c r="A2" s="224" t="s">
        <v>80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</row>
    <row r="3" spans="1:19" s="22" customFormat="1" ht="21" customHeight="1" x14ac:dyDescent="0.2">
      <c r="A3" s="224" t="s">
        <v>22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</row>
    <row r="4" spans="1:19" s="22" customForma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9" ht="25.5" customHeight="1" x14ac:dyDescent="0.2">
      <c r="A5" s="225" t="s">
        <v>23</v>
      </c>
      <c r="B5" s="228" t="s">
        <v>24</v>
      </c>
      <c r="C5" s="228" t="s">
        <v>25</v>
      </c>
      <c r="D5" s="231" t="s">
        <v>26</v>
      </c>
      <c r="E5" s="232"/>
      <c r="F5" s="232"/>
      <c r="G5" s="232"/>
      <c r="H5" s="233"/>
      <c r="I5" s="231" t="s">
        <v>69</v>
      </c>
      <c r="J5" s="232"/>
      <c r="K5" s="232"/>
      <c r="L5" s="232"/>
      <c r="M5" s="232"/>
      <c r="N5" s="232"/>
      <c r="O5" s="232"/>
      <c r="P5" s="232"/>
      <c r="Q5" s="232"/>
      <c r="R5" s="233"/>
    </row>
    <row r="6" spans="1:19" ht="21" customHeight="1" x14ac:dyDescent="0.2">
      <c r="A6" s="226"/>
      <c r="B6" s="229"/>
      <c r="C6" s="229"/>
      <c r="D6" s="228" t="s">
        <v>71</v>
      </c>
      <c r="E6" s="228" t="s">
        <v>28</v>
      </c>
      <c r="F6" s="228" t="s">
        <v>29</v>
      </c>
      <c r="G6" s="216" t="s">
        <v>30</v>
      </c>
      <c r="H6" s="216"/>
      <c r="I6" s="216" t="s">
        <v>31</v>
      </c>
      <c r="J6" s="216" t="s">
        <v>32</v>
      </c>
      <c r="K6" s="216" t="s">
        <v>33</v>
      </c>
      <c r="L6" s="216" t="s">
        <v>34</v>
      </c>
      <c r="M6" s="228" t="s">
        <v>35</v>
      </c>
      <c r="N6" s="228" t="s">
        <v>36</v>
      </c>
      <c r="O6" s="216" t="s">
        <v>37</v>
      </c>
      <c r="P6" s="216" t="s">
        <v>38</v>
      </c>
      <c r="Q6" s="216"/>
      <c r="R6" s="228" t="s">
        <v>39</v>
      </c>
    </row>
    <row r="7" spans="1:19" ht="17.25" customHeight="1" x14ac:dyDescent="0.2">
      <c r="A7" s="227"/>
      <c r="B7" s="230"/>
      <c r="C7" s="230"/>
      <c r="D7" s="230"/>
      <c r="E7" s="230"/>
      <c r="F7" s="230"/>
      <c r="G7" s="25" t="s">
        <v>40</v>
      </c>
      <c r="H7" s="25" t="s">
        <v>0</v>
      </c>
      <c r="I7" s="216"/>
      <c r="J7" s="216"/>
      <c r="K7" s="216"/>
      <c r="L7" s="216"/>
      <c r="M7" s="230"/>
      <c r="N7" s="230"/>
      <c r="O7" s="216"/>
      <c r="P7" s="25" t="s">
        <v>41</v>
      </c>
      <c r="Q7" s="25" t="s">
        <v>0</v>
      </c>
      <c r="R7" s="230"/>
    </row>
    <row r="8" spans="1:19" ht="28.5" customHeight="1" x14ac:dyDescent="0.2">
      <c r="A8" s="26">
        <v>1</v>
      </c>
      <c r="B8" s="27" t="s">
        <v>44</v>
      </c>
      <c r="C8" s="28" t="s">
        <v>86</v>
      </c>
      <c r="D8" s="29">
        <v>80</v>
      </c>
      <c r="E8" s="53">
        <v>0</v>
      </c>
      <c r="F8" s="53">
        <v>0</v>
      </c>
      <c r="G8" s="54">
        <f t="shared" ref="G8:G15" si="0">F8-E8</f>
        <v>0</v>
      </c>
      <c r="H8" s="55">
        <v>0</v>
      </c>
      <c r="I8" s="57">
        <v>0</v>
      </c>
      <c r="J8" s="57">
        <v>0</v>
      </c>
      <c r="K8" s="57">
        <v>0</v>
      </c>
      <c r="L8" s="57">
        <f t="shared" ref="L8:L15" si="1">I8+J8-K8</f>
        <v>0</v>
      </c>
      <c r="M8" s="57">
        <f t="shared" ref="M8:M15" si="2">L8</f>
        <v>0</v>
      </c>
      <c r="N8" s="57">
        <v>0</v>
      </c>
      <c r="O8" s="61">
        <v>0</v>
      </c>
      <c r="P8" s="31">
        <f t="shared" ref="P8:P15" si="3">N8-O8</f>
        <v>0</v>
      </c>
      <c r="Q8" s="32" t="e">
        <f t="shared" ref="Q8:Q15" si="4">(N8/O8)-1</f>
        <v>#DIV/0!</v>
      </c>
      <c r="R8" s="79" t="s">
        <v>4</v>
      </c>
    </row>
    <row r="9" spans="1:19" s="34" customFormat="1" ht="28.5" customHeight="1" x14ac:dyDescent="0.2">
      <c r="A9" s="26">
        <f>1+A8</f>
        <v>2</v>
      </c>
      <c r="B9" s="27" t="s">
        <v>46</v>
      </c>
      <c r="C9" s="33" t="s">
        <v>88</v>
      </c>
      <c r="D9" s="29">
        <v>13</v>
      </c>
      <c r="E9" s="53">
        <v>0</v>
      </c>
      <c r="F9" s="53">
        <v>0</v>
      </c>
      <c r="G9" s="54">
        <f t="shared" si="0"/>
        <v>0</v>
      </c>
      <c r="H9" s="55">
        <v>0</v>
      </c>
      <c r="I9" s="57">
        <v>0</v>
      </c>
      <c r="J9" s="57">
        <v>0</v>
      </c>
      <c r="K9" s="57">
        <v>0</v>
      </c>
      <c r="L9" s="57">
        <f t="shared" si="1"/>
        <v>0</v>
      </c>
      <c r="M9" s="57">
        <f t="shared" si="2"/>
        <v>0</v>
      </c>
      <c r="N9" s="57">
        <v>0</v>
      </c>
      <c r="O9" s="61">
        <v>0</v>
      </c>
      <c r="P9" s="31">
        <f t="shared" si="3"/>
        <v>0</v>
      </c>
      <c r="Q9" s="32" t="e">
        <f t="shared" si="4"/>
        <v>#DIV/0!</v>
      </c>
      <c r="R9" s="79" t="s">
        <v>6</v>
      </c>
      <c r="S9" s="24"/>
    </row>
    <row r="10" spans="1:19" ht="28.5" customHeight="1" x14ac:dyDescent="0.2">
      <c r="A10" s="26">
        <f t="shared" ref="A10:A15" si="5">1+A9</f>
        <v>3</v>
      </c>
      <c r="B10" s="27" t="s">
        <v>48</v>
      </c>
      <c r="C10" s="28" t="s">
        <v>97</v>
      </c>
      <c r="D10" s="29">
        <v>150</v>
      </c>
      <c r="E10" s="53">
        <v>142</v>
      </c>
      <c r="F10" s="53">
        <v>142</v>
      </c>
      <c r="G10" s="54">
        <f t="shared" si="0"/>
        <v>0</v>
      </c>
      <c r="H10" s="55">
        <f t="shared" ref="H10:H15" si="6">(F10/E10)-1</f>
        <v>0</v>
      </c>
      <c r="I10" s="57">
        <v>0</v>
      </c>
      <c r="J10" s="57">
        <v>0</v>
      </c>
      <c r="K10" s="57">
        <v>0</v>
      </c>
      <c r="L10" s="57">
        <f t="shared" si="1"/>
        <v>0</v>
      </c>
      <c r="M10" s="57">
        <f t="shared" si="2"/>
        <v>0</v>
      </c>
      <c r="N10" s="57">
        <v>0</v>
      </c>
      <c r="O10" s="61">
        <v>1896</v>
      </c>
      <c r="P10" s="31">
        <f t="shared" si="3"/>
        <v>-1896</v>
      </c>
      <c r="Q10" s="32">
        <f t="shared" si="4"/>
        <v>-1</v>
      </c>
      <c r="R10" s="79" t="s">
        <v>8</v>
      </c>
    </row>
    <row r="11" spans="1:19" s="34" customFormat="1" ht="28.5" customHeight="1" x14ac:dyDescent="0.2">
      <c r="A11" s="26">
        <f t="shared" si="5"/>
        <v>4</v>
      </c>
      <c r="B11" s="27" t="s">
        <v>53</v>
      </c>
      <c r="C11" s="28" t="s">
        <v>54</v>
      </c>
      <c r="D11" s="29">
        <v>22</v>
      </c>
      <c r="E11" s="53">
        <v>6</v>
      </c>
      <c r="F11" s="53">
        <v>6</v>
      </c>
      <c r="G11" s="54">
        <f t="shared" si="0"/>
        <v>0</v>
      </c>
      <c r="H11" s="55">
        <f t="shared" si="6"/>
        <v>0</v>
      </c>
      <c r="I11" s="57">
        <v>0</v>
      </c>
      <c r="J11" s="57">
        <v>0</v>
      </c>
      <c r="K11" s="57">
        <v>0</v>
      </c>
      <c r="L11" s="57">
        <f t="shared" si="1"/>
        <v>0</v>
      </c>
      <c r="M11" s="57">
        <f t="shared" si="2"/>
        <v>0</v>
      </c>
      <c r="N11" s="57">
        <v>0</v>
      </c>
      <c r="O11" s="61">
        <v>0</v>
      </c>
      <c r="P11" s="31">
        <f t="shared" si="3"/>
        <v>0</v>
      </c>
      <c r="Q11" s="32" t="e">
        <f t="shared" si="4"/>
        <v>#DIV/0!</v>
      </c>
      <c r="R11" s="79" t="s">
        <v>11</v>
      </c>
      <c r="S11" s="24"/>
    </row>
    <row r="12" spans="1:19" s="34" customFormat="1" ht="28.5" customHeight="1" x14ac:dyDescent="0.2">
      <c r="A12" s="26">
        <f t="shared" si="5"/>
        <v>5</v>
      </c>
      <c r="B12" s="27" t="s">
        <v>56</v>
      </c>
      <c r="C12" s="28" t="s">
        <v>84</v>
      </c>
      <c r="D12" s="29">
        <v>5</v>
      </c>
      <c r="E12" s="53">
        <v>2</v>
      </c>
      <c r="F12" s="53">
        <v>2</v>
      </c>
      <c r="G12" s="54">
        <f t="shared" ref="G12" si="7">F12-E12</f>
        <v>0</v>
      </c>
      <c r="H12" s="55">
        <f t="shared" ref="H12" si="8">(F12/E12)-1</f>
        <v>0</v>
      </c>
      <c r="I12" s="57">
        <v>0</v>
      </c>
      <c r="J12" s="57">
        <v>0</v>
      </c>
      <c r="K12" s="57">
        <v>0</v>
      </c>
      <c r="L12" s="57">
        <f t="shared" ref="L12" si="9">I12+J12-K12</f>
        <v>0</v>
      </c>
      <c r="M12" s="57">
        <f t="shared" ref="M12" si="10">L12</f>
        <v>0</v>
      </c>
      <c r="N12" s="57">
        <v>0</v>
      </c>
      <c r="O12" s="61">
        <v>0</v>
      </c>
      <c r="P12" s="31">
        <f t="shared" ref="P12" si="11">N12-O12</f>
        <v>0</v>
      </c>
      <c r="Q12" s="32" t="e">
        <f t="shared" ref="Q12" si="12">(N12/O12)-1</f>
        <v>#DIV/0!</v>
      </c>
      <c r="R12" s="79" t="s">
        <v>11</v>
      </c>
      <c r="S12" s="24"/>
    </row>
    <row r="13" spans="1:19" s="34" customFormat="1" ht="28.5" customHeight="1" x14ac:dyDescent="0.2">
      <c r="A13" s="26">
        <f t="shared" si="5"/>
        <v>6</v>
      </c>
      <c r="B13" s="27" t="s">
        <v>61</v>
      </c>
      <c r="C13" s="28" t="s">
        <v>62</v>
      </c>
      <c r="D13" s="29">
        <v>14</v>
      </c>
      <c r="E13" s="53">
        <v>4</v>
      </c>
      <c r="F13" s="53">
        <v>4</v>
      </c>
      <c r="G13" s="54">
        <f t="shared" si="0"/>
        <v>0</v>
      </c>
      <c r="H13" s="55">
        <v>0</v>
      </c>
      <c r="I13" s="57">
        <v>0</v>
      </c>
      <c r="J13" s="57">
        <v>0</v>
      </c>
      <c r="K13" s="57">
        <v>0</v>
      </c>
      <c r="L13" s="57">
        <f t="shared" si="1"/>
        <v>0</v>
      </c>
      <c r="M13" s="57">
        <f t="shared" si="2"/>
        <v>0</v>
      </c>
      <c r="N13" s="57">
        <v>0</v>
      </c>
      <c r="O13" s="61">
        <v>0</v>
      </c>
      <c r="P13" s="31">
        <f t="shared" si="3"/>
        <v>0</v>
      </c>
      <c r="Q13" s="32" t="e">
        <f t="shared" si="4"/>
        <v>#DIV/0!</v>
      </c>
      <c r="R13" s="80" t="s">
        <v>16</v>
      </c>
      <c r="S13" s="24"/>
    </row>
    <row r="14" spans="1:19" s="34" customFormat="1" ht="28.5" customHeight="1" x14ac:dyDescent="0.2">
      <c r="A14" s="26">
        <f t="shared" si="5"/>
        <v>7</v>
      </c>
      <c r="B14" s="27" t="s">
        <v>63</v>
      </c>
      <c r="C14" s="28" t="s">
        <v>98</v>
      </c>
      <c r="D14" s="29">
        <v>18</v>
      </c>
      <c r="E14" s="53">
        <v>4</v>
      </c>
      <c r="F14" s="53">
        <v>4</v>
      </c>
      <c r="G14" s="54">
        <f t="shared" si="0"/>
        <v>0</v>
      </c>
      <c r="H14" s="55">
        <f t="shared" si="6"/>
        <v>0</v>
      </c>
      <c r="I14" s="57">
        <v>0</v>
      </c>
      <c r="J14" s="57">
        <v>0</v>
      </c>
      <c r="K14" s="57">
        <v>0</v>
      </c>
      <c r="L14" s="57">
        <f t="shared" si="1"/>
        <v>0</v>
      </c>
      <c r="M14" s="57">
        <f t="shared" si="2"/>
        <v>0</v>
      </c>
      <c r="N14" s="57">
        <v>0</v>
      </c>
      <c r="O14" s="61">
        <v>139050</v>
      </c>
      <c r="P14" s="31">
        <f t="shared" si="3"/>
        <v>-139050</v>
      </c>
      <c r="Q14" s="32">
        <f t="shared" si="4"/>
        <v>-1</v>
      </c>
      <c r="R14" s="79" t="s">
        <v>17</v>
      </c>
      <c r="S14" s="24"/>
    </row>
    <row r="15" spans="1:19" s="34" customFormat="1" ht="28.5" customHeight="1" x14ac:dyDescent="0.2">
      <c r="A15" s="26">
        <f t="shared" si="5"/>
        <v>8</v>
      </c>
      <c r="B15" s="36" t="s">
        <v>65</v>
      </c>
      <c r="C15" s="37" t="s">
        <v>66</v>
      </c>
      <c r="D15" s="29">
        <v>1</v>
      </c>
      <c r="E15" s="58">
        <v>0.125</v>
      </c>
      <c r="F15" s="58">
        <v>0.125</v>
      </c>
      <c r="G15" s="54">
        <f t="shared" si="0"/>
        <v>0</v>
      </c>
      <c r="H15" s="55">
        <f t="shared" si="6"/>
        <v>0</v>
      </c>
      <c r="I15" s="57">
        <v>0</v>
      </c>
      <c r="J15" s="59">
        <v>0</v>
      </c>
      <c r="K15" s="60">
        <v>0</v>
      </c>
      <c r="L15" s="57">
        <f t="shared" si="1"/>
        <v>0</v>
      </c>
      <c r="M15" s="57">
        <f t="shared" si="2"/>
        <v>0</v>
      </c>
      <c r="N15" s="57">
        <v>0</v>
      </c>
      <c r="O15" s="61">
        <v>994190</v>
      </c>
      <c r="P15" s="31">
        <f t="shared" si="3"/>
        <v>-994190</v>
      </c>
      <c r="Q15" s="32">
        <f t="shared" si="4"/>
        <v>-1</v>
      </c>
      <c r="R15" s="79" t="s">
        <v>19</v>
      </c>
      <c r="S15" s="24"/>
    </row>
    <row r="16" spans="1:19" s="45" customFormat="1" ht="30" customHeight="1" x14ac:dyDescent="0.2">
      <c r="A16" s="236" t="s">
        <v>1</v>
      </c>
      <c r="B16" s="237"/>
      <c r="C16" s="238"/>
      <c r="D16" s="38">
        <f>SUM(D8:D15)</f>
        <v>303</v>
      </c>
      <c r="E16" s="38">
        <f>SUM(E8:E15)</f>
        <v>158.125</v>
      </c>
      <c r="F16" s="38">
        <f>SUM(F8:F15)</f>
        <v>158.125</v>
      </c>
      <c r="G16" s="38">
        <f>F16-E16</f>
        <v>0</v>
      </c>
      <c r="H16" s="40">
        <f>(F16/E16)-1</f>
        <v>0</v>
      </c>
      <c r="I16" s="41">
        <f t="shared" ref="I16:P16" si="13">SUM(I8:I15)</f>
        <v>0</v>
      </c>
      <c r="J16" s="41">
        <f t="shared" si="13"/>
        <v>0</v>
      </c>
      <c r="K16" s="41">
        <f t="shared" si="13"/>
        <v>0</v>
      </c>
      <c r="L16" s="41">
        <f t="shared" si="13"/>
        <v>0</v>
      </c>
      <c r="M16" s="41">
        <f t="shared" si="13"/>
        <v>0</v>
      </c>
      <c r="N16" s="41">
        <f t="shared" si="13"/>
        <v>0</v>
      </c>
      <c r="O16" s="41">
        <f>SUM(O8:O15)-1</f>
        <v>1135135</v>
      </c>
      <c r="P16" s="41">
        <f t="shared" si="13"/>
        <v>-1135136</v>
      </c>
      <c r="Q16" s="43">
        <f>(N16/O16)-1</f>
        <v>-1</v>
      </c>
      <c r="R16" s="44"/>
    </row>
    <row r="17" spans="1:18" x14ac:dyDescent="0.2">
      <c r="I17" s="52"/>
      <c r="J17" s="52"/>
      <c r="K17" s="52"/>
      <c r="L17" s="52"/>
      <c r="M17" s="52"/>
      <c r="N17" s="52"/>
      <c r="O17" s="52"/>
    </row>
    <row r="18" spans="1:18" ht="28.5" customHeight="1" x14ac:dyDescent="0.2">
      <c r="A18" s="234"/>
      <c r="B18" s="235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</row>
    <row r="19" spans="1:18" ht="16.5" customHeight="1" x14ac:dyDescent="0.2">
      <c r="A19" s="235"/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</row>
    <row r="20" spans="1:18" ht="16.5" customHeight="1" x14ac:dyDescent="0.2">
      <c r="A20" s="239"/>
      <c r="B20" s="240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</row>
  </sheetData>
  <mergeCells count="24">
    <mergeCell ref="A1:Q1"/>
    <mergeCell ref="A2:Q2"/>
    <mergeCell ref="A3:Q3"/>
    <mergeCell ref="A5:A7"/>
    <mergeCell ref="B5:B7"/>
    <mergeCell ref="C5:C7"/>
    <mergeCell ref="D5:H5"/>
    <mergeCell ref="I5:R5"/>
    <mergeCell ref="D6:D7"/>
    <mergeCell ref="E6:E7"/>
    <mergeCell ref="A20:R20"/>
    <mergeCell ref="A18:R19"/>
    <mergeCell ref="M6:M7"/>
    <mergeCell ref="N6:N7"/>
    <mergeCell ref="O6:O7"/>
    <mergeCell ref="P6:Q6"/>
    <mergeCell ref="R6:R7"/>
    <mergeCell ref="A16:C16"/>
    <mergeCell ref="F6:F7"/>
    <mergeCell ref="G6:H6"/>
    <mergeCell ref="I6:I7"/>
    <mergeCell ref="J6:J7"/>
    <mergeCell ref="K6:K7"/>
    <mergeCell ref="L6:L7"/>
  </mergeCells>
  <pageMargins left="0.98425196850393704" right="0.31496062992125984" top="1.3779527559055118" bottom="0.23622047244094491" header="0.19685039370078741" footer="0.15748031496062992"/>
  <pageSetup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0"/>
  <sheetViews>
    <sheetView topLeftCell="A4" zoomScale="90" zoomScaleNormal="90" workbookViewId="0">
      <selection activeCell="L10" sqref="L10"/>
    </sheetView>
  </sheetViews>
  <sheetFormatPr baseColWidth="10" defaultRowHeight="12.75" x14ac:dyDescent="0.25"/>
  <cols>
    <col min="1" max="1" width="5.28515625" style="70" customWidth="1"/>
    <col min="2" max="2" width="25.42578125" style="70" customWidth="1"/>
    <col min="3" max="3" width="15.7109375" style="70" customWidth="1"/>
    <col min="4" max="4" width="7" style="70" bestFit="1" customWidth="1"/>
    <col min="5" max="5" width="11.28515625" style="70" bestFit="1" customWidth="1"/>
    <col min="6" max="6" width="11.85546875" style="70" bestFit="1" customWidth="1"/>
    <col min="7" max="7" width="9.85546875" style="70" bestFit="1" customWidth="1"/>
    <col min="8" max="8" width="2.5703125" style="70" bestFit="1" customWidth="1"/>
    <col min="9" max="9" width="12.42578125" style="70" customWidth="1"/>
    <col min="10" max="10" width="12" style="70" bestFit="1" customWidth="1"/>
    <col min="11" max="11" width="10.7109375" style="70" bestFit="1" customWidth="1"/>
    <col min="12" max="12" width="11.85546875" style="70" bestFit="1" customWidth="1"/>
    <col min="13" max="13" width="11.28515625" style="70" customWidth="1"/>
    <col min="14" max="14" width="10" style="70" bestFit="1" customWidth="1"/>
    <col min="15" max="15" width="8.5703125" style="70" bestFit="1" customWidth="1"/>
    <col min="16" max="16" width="9.140625" style="70" bestFit="1" customWidth="1"/>
    <col min="17" max="17" width="9.85546875" style="64" bestFit="1" customWidth="1"/>
    <col min="18" max="221" width="11.42578125" style="64"/>
    <col min="222" max="222" width="5.28515625" style="64" customWidth="1"/>
    <col min="223" max="223" width="25.42578125" style="64" customWidth="1"/>
    <col min="224" max="224" width="13" style="64" customWidth="1"/>
    <col min="225" max="225" width="9.5703125" style="64" customWidth="1"/>
    <col min="226" max="226" width="12" style="64" customWidth="1"/>
    <col min="227" max="227" width="12.28515625" style="64" customWidth="1"/>
    <col min="228" max="228" width="11.28515625" style="64" customWidth="1"/>
    <col min="229" max="229" width="10.85546875" style="64" customWidth="1"/>
    <col min="230" max="230" width="11.5703125" style="64" customWidth="1"/>
    <col min="231" max="231" width="12.5703125" style="64" customWidth="1"/>
    <col min="232" max="232" width="12.28515625" style="64" customWidth="1"/>
    <col min="233" max="233" width="12.140625" style="64" customWidth="1"/>
    <col min="234" max="234" width="0" style="64" hidden="1" customWidth="1"/>
    <col min="235" max="235" width="11.28515625" style="64" customWidth="1"/>
    <col min="236" max="236" width="11.140625" style="64" customWidth="1"/>
    <col min="237" max="238" width="0" style="64" hidden="1" customWidth="1"/>
    <col min="239" max="239" width="8.85546875" style="64" bestFit="1" customWidth="1"/>
    <col min="240" max="477" width="11.42578125" style="64"/>
    <col min="478" max="478" width="5.28515625" style="64" customWidth="1"/>
    <col min="479" max="479" width="25.42578125" style="64" customWidth="1"/>
    <col min="480" max="480" width="13" style="64" customWidth="1"/>
    <col min="481" max="481" width="9.5703125" style="64" customWidth="1"/>
    <col min="482" max="482" width="12" style="64" customWidth="1"/>
    <col min="483" max="483" width="12.28515625" style="64" customWidth="1"/>
    <col min="484" max="484" width="11.28515625" style="64" customWidth="1"/>
    <col min="485" max="485" width="10.85546875" style="64" customWidth="1"/>
    <col min="486" max="486" width="11.5703125" style="64" customWidth="1"/>
    <col min="487" max="487" width="12.5703125" style="64" customWidth="1"/>
    <col min="488" max="488" width="12.28515625" style="64" customWidth="1"/>
    <col min="489" max="489" width="12.140625" style="64" customWidth="1"/>
    <col min="490" max="490" width="0" style="64" hidden="1" customWidth="1"/>
    <col min="491" max="491" width="11.28515625" style="64" customWidth="1"/>
    <col min="492" max="492" width="11.140625" style="64" customWidth="1"/>
    <col min="493" max="494" width="0" style="64" hidden="1" customWidth="1"/>
    <col min="495" max="495" width="8.85546875" style="64" bestFit="1" customWidth="1"/>
    <col min="496" max="733" width="11.42578125" style="64"/>
    <col min="734" max="734" width="5.28515625" style="64" customWidth="1"/>
    <col min="735" max="735" width="25.42578125" style="64" customWidth="1"/>
    <col min="736" max="736" width="13" style="64" customWidth="1"/>
    <col min="737" max="737" width="9.5703125" style="64" customWidth="1"/>
    <col min="738" max="738" width="12" style="64" customWidth="1"/>
    <col min="739" max="739" width="12.28515625" style="64" customWidth="1"/>
    <col min="740" max="740" width="11.28515625" style="64" customWidth="1"/>
    <col min="741" max="741" width="10.85546875" style="64" customWidth="1"/>
    <col min="742" max="742" width="11.5703125" style="64" customWidth="1"/>
    <col min="743" max="743" width="12.5703125" style="64" customWidth="1"/>
    <col min="744" max="744" width="12.28515625" style="64" customWidth="1"/>
    <col min="745" max="745" width="12.140625" style="64" customWidth="1"/>
    <col min="746" max="746" width="0" style="64" hidden="1" customWidth="1"/>
    <col min="747" max="747" width="11.28515625" style="64" customWidth="1"/>
    <col min="748" max="748" width="11.140625" style="64" customWidth="1"/>
    <col min="749" max="750" width="0" style="64" hidden="1" customWidth="1"/>
    <col min="751" max="751" width="8.85546875" style="64" bestFit="1" customWidth="1"/>
    <col min="752" max="989" width="11.42578125" style="64"/>
    <col min="990" max="990" width="5.28515625" style="64" customWidth="1"/>
    <col min="991" max="991" width="25.42578125" style="64" customWidth="1"/>
    <col min="992" max="992" width="13" style="64" customWidth="1"/>
    <col min="993" max="993" width="9.5703125" style="64" customWidth="1"/>
    <col min="994" max="994" width="12" style="64" customWidth="1"/>
    <col min="995" max="995" width="12.28515625" style="64" customWidth="1"/>
    <col min="996" max="996" width="11.28515625" style="64" customWidth="1"/>
    <col min="997" max="997" width="10.85546875" style="64" customWidth="1"/>
    <col min="998" max="998" width="11.5703125" style="64" customWidth="1"/>
    <col min="999" max="999" width="12.5703125" style="64" customWidth="1"/>
    <col min="1000" max="1000" width="12.28515625" style="64" customWidth="1"/>
    <col min="1001" max="1001" width="12.140625" style="64" customWidth="1"/>
    <col min="1002" max="1002" width="0" style="64" hidden="1" customWidth="1"/>
    <col min="1003" max="1003" width="11.28515625" style="64" customWidth="1"/>
    <col min="1004" max="1004" width="11.140625" style="64" customWidth="1"/>
    <col min="1005" max="1006" width="0" style="64" hidden="1" customWidth="1"/>
    <col min="1007" max="1007" width="8.85546875" style="64" bestFit="1" customWidth="1"/>
    <col min="1008" max="1245" width="11.42578125" style="64"/>
    <col min="1246" max="1246" width="5.28515625" style="64" customWidth="1"/>
    <col min="1247" max="1247" width="25.42578125" style="64" customWidth="1"/>
    <col min="1248" max="1248" width="13" style="64" customWidth="1"/>
    <col min="1249" max="1249" width="9.5703125" style="64" customWidth="1"/>
    <col min="1250" max="1250" width="12" style="64" customWidth="1"/>
    <col min="1251" max="1251" width="12.28515625" style="64" customWidth="1"/>
    <col min="1252" max="1252" width="11.28515625" style="64" customWidth="1"/>
    <col min="1253" max="1253" width="10.85546875" style="64" customWidth="1"/>
    <col min="1254" max="1254" width="11.5703125" style="64" customWidth="1"/>
    <col min="1255" max="1255" width="12.5703125" style="64" customWidth="1"/>
    <col min="1256" max="1256" width="12.28515625" style="64" customWidth="1"/>
    <col min="1257" max="1257" width="12.140625" style="64" customWidth="1"/>
    <col min="1258" max="1258" width="0" style="64" hidden="1" customWidth="1"/>
    <col min="1259" max="1259" width="11.28515625" style="64" customWidth="1"/>
    <col min="1260" max="1260" width="11.140625" style="64" customWidth="1"/>
    <col min="1261" max="1262" width="0" style="64" hidden="1" customWidth="1"/>
    <col min="1263" max="1263" width="8.85546875" style="64" bestFit="1" customWidth="1"/>
    <col min="1264" max="1501" width="11.42578125" style="64"/>
    <col min="1502" max="1502" width="5.28515625" style="64" customWidth="1"/>
    <col min="1503" max="1503" width="25.42578125" style="64" customWidth="1"/>
    <col min="1504" max="1504" width="13" style="64" customWidth="1"/>
    <col min="1505" max="1505" width="9.5703125" style="64" customWidth="1"/>
    <col min="1506" max="1506" width="12" style="64" customWidth="1"/>
    <col min="1507" max="1507" width="12.28515625" style="64" customWidth="1"/>
    <col min="1508" max="1508" width="11.28515625" style="64" customWidth="1"/>
    <col min="1509" max="1509" width="10.85546875" style="64" customWidth="1"/>
    <col min="1510" max="1510" width="11.5703125" style="64" customWidth="1"/>
    <col min="1511" max="1511" width="12.5703125" style="64" customWidth="1"/>
    <col min="1512" max="1512" width="12.28515625" style="64" customWidth="1"/>
    <col min="1513" max="1513" width="12.140625" style="64" customWidth="1"/>
    <col min="1514" max="1514" width="0" style="64" hidden="1" customWidth="1"/>
    <col min="1515" max="1515" width="11.28515625" style="64" customWidth="1"/>
    <col min="1516" max="1516" width="11.140625" style="64" customWidth="1"/>
    <col min="1517" max="1518" width="0" style="64" hidden="1" customWidth="1"/>
    <col min="1519" max="1519" width="8.85546875" style="64" bestFit="1" customWidth="1"/>
    <col min="1520" max="1757" width="11.42578125" style="64"/>
    <col min="1758" max="1758" width="5.28515625" style="64" customWidth="1"/>
    <col min="1759" max="1759" width="25.42578125" style="64" customWidth="1"/>
    <col min="1760" max="1760" width="13" style="64" customWidth="1"/>
    <col min="1761" max="1761" width="9.5703125" style="64" customWidth="1"/>
    <col min="1762" max="1762" width="12" style="64" customWidth="1"/>
    <col min="1763" max="1763" width="12.28515625" style="64" customWidth="1"/>
    <col min="1764" max="1764" width="11.28515625" style="64" customWidth="1"/>
    <col min="1765" max="1765" width="10.85546875" style="64" customWidth="1"/>
    <col min="1766" max="1766" width="11.5703125" style="64" customWidth="1"/>
    <col min="1767" max="1767" width="12.5703125" style="64" customWidth="1"/>
    <col min="1768" max="1768" width="12.28515625" style="64" customWidth="1"/>
    <col min="1769" max="1769" width="12.140625" style="64" customWidth="1"/>
    <col min="1770" max="1770" width="0" style="64" hidden="1" customWidth="1"/>
    <col min="1771" max="1771" width="11.28515625" style="64" customWidth="1"/>
    <col min="1772" max="1772" width="11.140625" style="64" customWidth="1"/>
    <col min="1773" max="1774" width="0" style="64" hidden="1" customWidth="1"/>
    <col min="1775" max="1775" width="8.85546875" style="64" bestFit="1" customWidth="1"/>
    <col min="1776" max="2013" width="11.42578125" style="64"/>
    <col min="2014" max="2014" width="5.28515625" style="64" customWidth="1"/>
    <col min="2015" max="2015" width="25.42578125" style="64" customWidth="1"/>
    <col min="2016" max="2016" width="13" style="64" customWidth="1"/>
    <col min="2017" max="2017" width="9.5703125" style="64" customWidth="1"/>
    <col min="2018" max="2018" width="12" style="64" customWidth="1"/>
    <col min="2019" max="2019" width="12.28515625" style="64" customWidth="1"/>
    <col min="2020" max="2020" width="11.28515625" style="64" customWidth="1"/>
    <col min="2021" max="2021" width="10.85546875" style="64" customWidth="1"/>
    <col min="2022" max="2022" width="11.5703125" style="64" customWidth="1"/>
    <col min="2023" max="2023" width="12.5703125" style="64" customWidth="1"/>
    <col min="2024" max="2024" width="12.28515625" style="64" customWidth="1"/>
    <col min="2025" max="2025" width="12.140625" style="64" customWidth="1"/>
    <col min="2026" max="2026" width="0" style="64" hidden="1" customWidth="1"/>
    <col min="2027" max="2027" width="11.28515625" style="64" customWidth="1"/>
    <col min="2028" max="2028" width="11.140625" style="64" customWidth="1"/>
    <col min="2029" max="2030" width="0" style="64" hidden="1" customWidth="1"/>
    <col min="2031" max="2031" width="8.85546875" style="64" bestFit="1" customWidth="1"/>
    <col min="2032" max="2269" width="11.42578125" style="64"/>
    <col min="2270" max="2270" width="5.28515625" style="64" customWidth="1"/>
    <col min="2271" max="2271" width="25.42578125" style="64" customWidth="1"/>
    <col min="2272" max="2272" width="13" style="64" customWidth="1"/>
    <col min="2273" max="2273" width="9.5703125" style="64" customWidth="1"/>
    <col min="2274" max="2274" width="12" style="64" customWidth="1"/>
    <col min="2275" max="2275" width="12.28515625" style="64" customWidth="1"/>
    <col min="2276" max="2276" width="11.28515625" style="64" customWidth="1"/>
    <col min="2277" max="2277" width="10.85546875" style="64" customWidth="1"/>
    <col min="2278" max="2278" width="11.5703125" style="64" customWidth="1"/>
    <col min="2279" max="2279" width="12.5703125" style="64" customWidth="1"/>
    <col min="2280" max="2280" width="12.28515625" style="64" customWidth="1"/>
    <col min="2281" max="2281" width="12.140625" style="64" customWidth="1"/>
    <col min="2282" max="2282" width="0" style="64" hidden="1" customWidth="1"/>
    <col min="2283" max="2283" width="11.28515625" style="64" customWidth="1"/>
    <col min="2284" max="2284" width="11.140625" style="64" customWidth="1"/>
    <col min="2285" max="2286" width="0" style="64" hidden="1" customWidth="1"/>
    <col min="2287" max="2287" width="8.85546875" style="64" bestFit="1" customWidth="1"/>
    <col min="2288" max="2525" width="11.42578125" style="64"/>
    <col min="2526" max="2526" width="5.28515625" style="64" customWidth="1"/>
    <col min="2527" max="2527" width="25.42578125" style="64" customWidth="1"/>
    <col min="2528" max="2528" width="13" style="64" customWidth="1"/>
    <col min="2529" max="2529" width="9.5703125" style="64" customWidth="1"/>
    <col min="2530" max="2530" width="12" style="64" customWidth="1"/>
    <col min="2531" max="2531" width="12.28515625" style="64" customWidth="1"/>
    <col min="2532" max="2532" width="11.28515625" style="64" customWidth="1"/>
    <col min="2533" max="2533" width="10.85546875" style="64" customWidth="1"/>
    <col min="2534" max="2534" width="11.5703125" style="64" customWidth="1"/>
    <col min="2535" max="2535" width="12.5703125" style="64" customWidth="1"/>
    <col min="2536" max="2536" width="12.28515625" style="64" customWidth="1"/>
    <col min="2537" max="2537" width="12.140625" style="64" customWidth="1"/>
    <col min="2538" max="2538" width="0" style="64" hidden="1" customWidth="1"/>
    <col min="2539" max="2539" width="11.28515625" style="64" customWidth="1"/>
    <col min="2540" max="2540" width="11.140625" style="64" customWidth="1"/>
    <col min="2541" max="2542" width="0" style="64" hidden="1" customWidth="1"/>
    <col min="2543" max="2543" width="8.85546875" style="64" bestFit="1" customWidth="1"/>
    <col min="2544" max="2781" width="11.42578125" style="64"/>
    <col min="2782" max="2782" width="5.28515625" style="64" customWidth="1"/>
    <col min="2783" max="2783" width="25.42578125" style="64" customWidth="1"/>
    <col min="2784" max="2784" width="13" style="64" customWidth="1"/>
    <col min="2785" max="2785" width="9.5703125" style="64" customWidth="1"/>
    <col min="2786" max="2786" width="12" style="64" customWidth="1"/>
    <col min="2787" max="2787" width="12.28515625" style="64" customWidth="1"/>
    <col min="2788" max="2788" width="11.28515625" style="64" customWidth="1"/>
    <col min="2789" max="2789" width="10.85546875" style="64" customWidth="1"/>
    <col min="2790" max="2790" width="11.5703125" style="64" customWidth="1"/>
    <col min="2791" max="2791" width="12.5703125" style="64" customWidth="1"/>
    <col min="2792" max="2792" width="12.28515625" style="64" customWidth="1"/>
    <col min="2793" max="2793" width="12.140625" style="64" customWidth="1"/>
    <col min="2794" max="2794" width="0" style="64" hidden="1" customWidth="1"/>
    <col min="2795" max="2795" width="11.28515625" style="64" customWidth="1"/>
    <col min="2796" max="2796" width="11.140625" style="64" customWidth="1"/>
    <col min="2797" max="2798" width="0" style="64" hidden="1" customWidth="1"/>
    <col min="2799" max="2799" width="8.85546875" style="64" bestFit="1" customWidth="1"/>
    <col min="2800" max="3037" width="11.42578125" style="64"/>
    <col min="3038" max="3038" width="5.28515625" style="64" customWidth="1"/>
    <col min="3039" max="3039" width="25.42578125" style="64" customWidth="1"/>
    <col min="3040" max="3040" width="13" style="64" customWidth="1"/>
    <col min="3041" max="3041" width="9.5703125" style="64" customWidth="1"/>
    <col min="3042" max="3042" width="12" style="64" customWidth="1"/>
    <col min="3043" max="3043" width="12.28515625" style="64" customWidth="1"/>
    <col min="3044" max="3044" width="11.28515625" style="64" customWidth="1"/>
    <col min="3045" max="3045" width="10.85546875" style="64" customWidth="1"/>
    <col min="3046" max="3046" width="11.5703125" style="64" customWidth="1"/>
    <col min="3047" max="3047" width="12.5703125" style="64" customWidth="1"/>
    <col min="3048" max="3048" width="12.28515625" style="64" customWidth="1"/>
    <col min="3049" max="3049" width="12.140625" style="64" customWidth="1"/>
    <col min="3050" max="3050" width="0" style="64" hidden="1" customWidth="1"/>
    <col min="3051" max="3051" width="11.28515625" style="64" customWidth="1"/>
    <col min="3052" max="3052" width="11.140625" style="64" customWidth="1"/>
    <col min="3053" max="3054" width="0" style="64" hidden="1" customWidth="1"/>
    <col min="3055" max="3055" width="8.85546875" style="64" bestFit="1" customWidth="1"/>
    <col min="3056" max="3293" width="11.42578125" style="64"/>
    <col min="3294" max="3294" width="5.28515625" style="64" customWidth="1"/>
    <col min="3295" max="3295" width="25.42578125" style="64" customWidth="1"/>
    <col min="3296" max="3296" width="13" style="64" customWidth="1"/>
    <col min="3297" max="3297" width="9.5703125" style="64" customWidth="1"/>
    <col min="3298" max="3298" width="12" style="64" customWidth="1"/>
    <col min="3299" max="3299" width="12.28515625" style="64" customWidth="1"/>
    <col min="3300" max="3300" width="11.28515625" style="64" customWidth="1"/>
    <col min="3301" max="3301" width="10.85546875" style="64" customWidth="1"/>
    <col min="3302" max="3302" width="11.5703125" style="64" customWidth="1"/>
    <col min="3303" max="3303" width="12.5703125" style="64" customWidth="1"/>
    <col min="3304" max="3304" width="12.28515625" style="64" customWidth="1"/>
    <col min="3305" max="3305" width="12.140625" style="64" customWidth="1"/>
    <col min="3306" max="3306" width="0" style="64" hidden="1" customWidth="1"/>
    <col min="3307" max="3307" width="11.28515625" style="64" customWidth="1"/>
    <col min="3308" max="3308" width="11.140625" style="64" customWidth="1"/>
    <col min="3309" max="3310" width="0" style="64" hidden="1" customWidth="1"/>
    <col min="3311" max="3311" width="8.85546875" style="64" bestFit="1" customWidth="1"/>
    <col min="3312" max="3549" width="11.42578125" style="64"/>
    <col min="3550" max="3550" width="5.28515625" style="64" customWidth="1"/>
    <col min="3551" max="3551" width="25.42578125" style="64" customWidth="1"/>
    <col min="3552" max="3552" width="13" style="64" customWidth="1"/>
    <col min="3553" max="3553" width="9.5703125" style="64" customWidth="1"/>
    <col min="3554" max="3554" width="12" style="64" customWidth="1"/>
    <col min="3555" max="3555" width="12.28515625" style="64" customWidth="1"/>
    <col min="3556" max="3556" width="11.28515625" style="64" customWidth="1"/>
    <col min="3557" max="3557" width="10.85546875" style="64" customWidth="1"/>
    <col min="3558" max="3558" width="11.5703125" style="64" customWidth="1"/>
    <col min="3559" max="3559" width="12.5703125" style="64" customWidth="1"/>
    <col min="3560" max="3560" width="12.28515625" style="64" customWidth="1"/>
    <col min="3561" max="3561" width="12.140625" style="64" customWidth="1"/>
    <col min="3562" max="3562" width="0" style="64" hidden="1" customWidth="1"/>
    <col min="3563" max="3563" width="11.28515625" style="64" customWidth="1"/>
    <col min="3564" max="3564" width="11.140625" style="64" customWidth="1"/>
    <col min="3565" max="3566" width="0" style="64" hidden="1" customWidth="1"/>
    <col min="3567" max="3567" width="8.85546875" style="64" bestFit="1" customWidth="1"/>
    <col min="3568" max="3805" width="11.42578125" style="64"/>
    <col min="3806" max="3806" width="5.28515625" style="64" customWidth="1"/>
    <col min="3807" max="3807" width="25.42578125" style="64" customWidth="1"/>
    <col min="3808" max="3808" width="13" style="64" customWidth="1"/>
    <col min="3809" max="3809" width="9.5703125" style="64" customWidth="1"/>
    <col min="3810" max="3810" width="12" style="64" customWidth="1"/>
    <col min="3811" max="3811" width="12.28515625" style="64" customWidth="1"/>
    <col min="3812" max="3812" width="11.28515625" style="64" customWidth="1"/>
    <col min="3813" max="3813" width="10.85546875" style="64" customWidth="1"/>
    <col min="3814" max="3814" width="11.5703125" style="64" customWidth="1"/>
    <col min="3815" max="3815" width="12.5703125" style="64" customWidth="1"/>
    <col min="3816" max="3816" width="12.28515625" style="64" customWidth="1"/>
    <col min="3817" max="3817" width="12.140625" style="64" customWidth="1"/>
    <col min="3818" max="3818" width="0" style="64" hidden="1" customWidth="1"/>
    <col min="3819" max="3819" width="11.28515625" style="64" customWidth="1"/>
    <col min="3820" max="3820" width="11.140625" style="64" customWidth="1"/>
    <col min="3821" max="3822" width="0" style="64" hidden="1" customWidth="1"/>
    <col min="3823" max="3823" width="8.85546875" style="64" bestFit="1" customWidth="1"/>
    <col min="3824" max="4061" width="11.42578125" style="64"/>
    <col min="4062" max="4062" width="5.28515625" style="64" customWidth="1"/>
    <col min="4063" max="4063" width="25.42578125" style="64" customWidth="1"/>
    <col min="4064" max="4064" width="13" style="64" customWidth="1"/>
    <col min="4065" max="4065" width="9.5703125" style="64" customWidth="1"/>
    <col min="4066" max="4066" width="12" style="64" customWidth="1"/>
    <col min="4067" max="4067" width="12.28515625" style="64" customWidth="1"/>
    <col min="4068" max="4068" width="11.28515625" style="64" customWidth="1"/>
    <col min="4069" max="4069" width="10.85546875" style="64" customWidth="1"/>
    <col min="4070" max="4070" width="11.5703125" style="64" customWidth="1"/>
    <col min="4071" max="4071" width="12.5703125" style="64" customWidth="1"/>
    <col min="4072" max="4072" width="12.28515625" style="64" customWidth="1"/>
    <col min="4073" max="4073" width="12.140625" style="64" customWidth="1"/>
    <col min="4074" max="4074" width="0" style="64" hidden="1" customWidth="1"/>
    <col min="4075" max="4075" width="11.28515625" style="64" customWidth="1"/>
    <col min="4076" max="4076" width="11.140625" style="64" customWidth="1"/>
    <col min="4077" max="4078" width="0" style="64" hidden="1" customWidth="1"/>
    <col min="4079" max="4079" width="8.85546875" style="64" bestFit="1" customWidth="1"/>
    <col min="4080" max="4317" width="11.42578125" style="64"/>
    <col min="4318" max="4318" width="5.28515625" style="64" customWidth="1"/>
    <col min="4319" max="4319" width="25.42578125" style="64" customWidth="1"/>
    <col min="4320" max="4320" width="13" style="64" customWidth="1"/>
    <col min="4321" max="4321" width="9.5703125" style="64" customWidth="1"/>
    <col min="4322" max="4322" width="12" style="64" customWidth="1"/>
    <col min="4323" max="4323" width="12.28515625" style="64" customWidth="1"/>
    <col min="4324" max="4324" width="11.28515625" style="64" customWidth="1"/>
    <col min="4325" max="4325" width="10.85546875" style="64" customWidth="1"/>
    <col min="4326" max="4326" width="11.5703125" style="64" customWidth="1"/>
    <col min="4327" max="4327" width="12.5703125" style="64" customWidth="1"/>
    <col min="4328" max="4328" width="12.28515625" style="64" customWidth="1"/>
    <col min="4329" max="4329" width="12.140625" style="64" customWidth="1"/>
    <col min="4330" max="4330" width="0" style="64" hidden="1" customWidth="1"/>
    <col min="4331" max="4331" width="11.28515625" style="64" customWidth="1"/>
    <col min="4332" max="4332" width="11.140625" style="64" customWidth="1"/>
    <col min="4333" max="4334" width="0" style="64" hidden="1" customWidth="1"/>
    <col min="4335" max="4335" width="8.85546875" style="64" bestFit="1" customWidth="1"/>
    <col min="4336" max="4573" width="11.42578125" style="64"/>
    <col min="4574" max="4574" width="5.28515625" style="64" customWidth="1"/>
    <col min="4575" max="4575" width="25.42578125" style="64" customWidth="1"/>
    <col min="4576" max="4576" width="13" style="64" customWidth="1"/>
    <col min="4577" max="4577" width="9.5703125" style="64" customWidth="1"/>
    <col min="4578" max="4578" width="12" style="64" customWidth="1"/>
    <col min="4579" max="4579" width="12.28515625" style="64" customWidth="1"/>
    <col min="4580" max="4580" width="11.28515625" style="64" customWidth="1"/>
    <col min="4581" max="4581" width="10.85546875" style="64" customWidth="1"/>
    <col min="4582" max="4582" width="11.5703125" style="64" customWidth="1"/>
    <col min="4583" max="4583" width="12.5703125" style="64" customWidth="1"/>
    <col min="4584" max="4584" width="12.28515625" style="64" customWidth="1"/>
    <col min="4585" max="4585" width="12.140625" style="64" customWidth="1"/>
    <col min="4586" max="4586" width="0" style="64" hidden="1" customWidth="1"/>
    <col min="4587" max="4587" width="11.28515625" style="64" customWidth="1"/>
    <col min="4588" max="4588" width="11.140625" style="64" customWidth="1"/>
    <col min="4589" max="4590" width="0" style="64" hidden="1" customWidth="1"/>
    <col min="4591" max="4591" width="8.85546875" style="64" bestFit="1" customWidth="1"/>
    <col min="4592" max="4829" width="11.42578125" style="64"/>
    <col min="4830" max="4830" width="5.28515625" style="64" customWidth="1"/>
    <col min="4831" max="4831" width="25.42578125" style="64" customWidth="1"/>
    <col min="4832" max="4832" width="13" style="64" customWidth="1"/>
    <col min="4833" max="4833" width="9.5703125" style="64" customWidth="1"/>
    <col min="4834" max="4834" width="12" style="64" customWidth="1"/>
    <col min="4835" max="4835" width="12.28515625" style="64" customWidth="1"/>
    <col min="4836" max="4836" width="11.28515625" style="64" customWidth="1"/>
    <col min="4837" max="4837" width="10.85546875" style="64" customWidth="1"/>
    <col min="4838" max="4838" width="11.5703125" style="64" customWidth="1"/>
    <col min="4839" max="4839" width="12.5703125" style="64" customWidth="1"/>
    <col min="4840" max="4840" width="12.28515625" style="64" customWidth="1"/>
    <col min="4841" max="4841" width="12.140625" style="64" customWidth="1"/>
    <col min="4842" max="4842" width="0" style="64" hidden="1" customWidth="1"/>
    <col min="4843" max="4843" width="11.28515625" style="64" customWidth="1"/>
    <col min="4844" max="4844" width="11.140625" style="64" customWidth="1"/>
    <col min="4845" max="4846" width="0" style="64" hidden="1" customWidth="1"/>
    <col min="4847" max="4847" width="8.85546875" style="64" bestFit="1" customWidth="1"/>
    <col min="4848" max="5085" width="11.42578125" style="64"/>
    <col min="5086" max="5086" width="5.28515625" style="64" customWidth="1"/>
    <col min="5087" max="5087" width="25.42578125" style="64" customWidth="1"/>
    <col min="5088" max="5088" width="13" style="64" customWidth="1"/>
    <col min="5089" max="5089" width="9.5703125" style="64" customWidth="1"/>
    <col min="5090" max="5090" width="12" style="64" customWidth="1"/>
    <col min="5091" max="5091" width="12.28515625" style="64" customWidth="1"/>
    <col min="5092" max="5092" width="11.28515625" style="64" customWidth="1"/>
    <col min="5093" max="5093" width="10.85546875" style="64" customWidth="1"/>
    <col min="5094" max="5094" width="11.5703125" style="64" customWidth="1"/>
    <col min="5095" max="5095" width="12.5703125" style="64" customWidth="1"/>
    <col min="5096" max="5096" width="12.28515625" style="64" customWidth="1"/>
    <col min="5097" max="5097" width="12.140625" style="64" customWidth="1"/>
    <col min="5098" max="5098" width="0" style="64" hidden="1" customWidth="1"/>
    <col min="5099" max="5099" width="11.28515625" style="64" customWidth="1"/>
    <col min="5100" max="5100" width="11.140625" style="64" customWidth="1"/>
    <col min="5101" max="5102" width="0" style="64" hidden="1" customWidth="1"/>
    <col min="5103" max="5103" width="8.85546875" style="64" bestFit="1" customWidth="1"/>
    <col min="5104" max="5341" width="11.42578125" style="64"/>
    <col min="5342" max="5342" width="5.28515625" style="64" customWidth="1"/>
    <col min="5343" max="5343" width="25.42578125" style="64" customWidth="1"/>
    <col min="5344" max="5344" width="13" style="64" customWidth="1"/>
    <col min="5345" max="5345" width="9.5703125" style="64" customWidth="1"/>
    <col min="5346" max="5346" width="12" style="64" customWidth="1"/>
    <col min="5347" max="5347" width="12.28515625" style="64" customWidth="1"/>
    <col min="5348" max="5348" width="11.28515625" style="64" customWidth="1"/>
    <col min="5349" max="5349" width="10.85546875" style="64" customWidth="1"/>
    <col min="5350" max="5350" width="11.5703125" style="64" customWidth="1"/>
    <col min="5351" max="5351" width="12.5703125" style="64" customWidth="1"/>
    <col min="5352" max="5352" width="12.28515625" style="64" customWidth="1"/>
    <col min="5353" max="5353" width="12.140625" style="64" customWidth="1"/>
    <col min="5354" max="5354" width="0" style="64" hidden="1" customWidth="1"/>
    <col min="5355" max="5355" width="11.28515625" style="64" customWidth="1"/>
    <col min="5356" max="5356" width="11.140625" style="64" customWidth="1"/>
    <col min="5357" max="5358" width="0" style="64" hidden="1" customWidth="1"/>
    <col min="5359" max="5359" width="8.85546875" style="64" bestFit="1" customWidth="1"/>
    <col min="5360" max="5597" width="11.42578125" style="64"/>
    <col min="5598" max="5598" width="5.28515625" style="64" customWidth="1"/>
    <col min="5599" max="5599" width="25.42578125" style="64" customWidth="1"/>
    <col min="5600" max="5600" width="13" style="64" customWidth="1"/>
    <col min="5601" max="5601" width="9.5703125" style="64" customWidth="1"/>
    <col min="5602" max="5602" width="12" style="64" customWidth="1"/>
    <col min="5603" max="5603" width="12.28515625" style="64" customWidth="1"/>
    <col min="5604" max="5604" width="11.28515625" style="64" customWidth="1"/>
    <col min="5605" max="5605" width="10.85546875" style="64" customWidth="1"/>
    <col min="5606" max="5606" width="11.5703125" style="64" customWidth="1"/>
    <col min="5607" max="5607" width="12.5703125" style="64" customWidth="1"/>
    <col min="5608" max="5608" width="12.28515625" style="64" customWidth="1"/>
    <col min="5609" max="5609" width="12.140625" style="64" customWidth="1"/>
    <col min="5610" max="5610" width="0" style="64" hidden="1" customWidth="1"/>
    <col min="5611" max="5611" width="11.28515625" style="64" customWidth="1"/>
    <col min="5612" max="5612" width="11.140625" style="64" customWidth="1"/>
    <col min="5613" max="5614" width="0" style="64" hidden="1" customWidth="1"/>
    <col min="5615" max="5615" width="8.85546875" style="64" bestFit="1" customWidth="1"/>
    <col min="5616" max="5853" width="11.42578125" style="64"/>
    <col min="5854" max="5854" width="5.28515625" style="64" customWidth="1"/>
    <col min="5855" max="5855" width="25.42578125" style="64" customWidth="1"/>
    <col min="5856" max="5856" width="13" style="64" customWidth="1"/>
    <col min="5857" max="5857" width="9.5703125" style="64" customWidth="1"/>
    <col min="5858" max="5858" width="12" style="64" customWidth="1"/>
    <col min="5859" max="5859" width="12.28515625" style="64" customWidth="1"/>
    <col min="5860" max="5860" width="11.28515625" style="64" customWidth="1"/>
    <col min="5861" max="5861" width="10.85546875" style="64" customWidth="1"/>
    <col min="5862" max="5862" width="11.5703125" style="64" customWidth="1"/>
    <col min="5863" max="5863" width="12.5703125" style="64" customWidth="1"/>
    <col min="5864" max="5864" width="12.28515625" style="64" customWidth="1"/>
    <col min="5865" max="5865" width="12.140625" style="64" customWidth="1"/>
    <col min="5866" max="5866" width="0" style="64" hidden="1" customWidth="1"/>
    <col min="5867" max="5867" width="11.28515625" style="64" customWidth="1"/>
    <col min="5868" max="5868" width="11.140625" style="64" customWidth="1"/>
    <col min="5869" max="5870" width="0" style="64" hidden="1" customWidth="1"/>
    <col min="5871" max="5871" width="8.85546875" style="64" bestFit="1" customWidth="1"/>
    <col min="5872" max="6109" width="11.42578125" style="64"/>
    <col min="6110" max="6110" width="5.28515625" style="64" customWidth="1"/>
    <col min="6111" max="6111" width="25.42578125" style="64" customWidth="1"/>
    <col min="6112" max="6112" width="13" style="64" customWidth="1"/>
    <col min="6113" max="6113" width="9.5703125" style="64" customWidth="1"/>
    <col min="6114" max="6114" width="12" style="64" customWidth="1"/>
    <col min="6115" max="6115" width="12.28515625" style="64" customWidth="1"/>
    <col min="6116" max="6116" width="11.28515625" style="64" customWidth="1"/>
    <col min="6117" max="6117" width="10.85546875" style="64" customWidth="1"/>
    <col min="6118" max="6118" width="11.5703125" style="64" customWidth="1"/>
    <col min="6119" max="6119" width="12.5703125" style="64" customWidth="1"/>
    <col min="6120" max="6120" width="12.28515625" style="64" customWidth="1"/>
    <col min="6121" max="6121" width="12.140625" style="64" customWidth="1"/>
    <col min="6122" max="6122" width="0" style="64" hidden="1" customWidth="1"/>
    <col min="6123" max="6123" width="11.28515625" style="64" customWidth="1"/>
    <col min="6124" max="6124" width="11.140625" style="64" customWidth="1"/>
    <col min="6125" max="6126" width="0" style="64" hidden="1" customWidth="1"/>
    <col min="6127" max="6127" width="8.85546875" style="64" bestFit="1" customWidth="1"/>
    <col min="6128" max="6365" width="11.42578125" style="64"/>
    <col min="6366" max="6366" width="5.28515625" style="64" customWidth="1"/>
    <col min="6367" max="6367" width="25.42578125" style="64" customWidth="1"/>
    <col min="6368" max="6368" width="13" style="64" customWidth="1"/>
    <col min="6369" max="6369" width="9.5703125" style="64" customWidth="1"/>
    <col min="6370" max="6370" width="12" style="64" customWidth="1"/>
    <col min="6371" max="6371" width="12.28515625" style="64" customWidth="1"/>
    <col min="6372" max="6372" width="11.28515625" style="64" customWidth="1"/>
    <col min="6373" max="6373" width="10.85546875" style="64" customWidth="1"/>
    <col min="6374" max="6374" width="11.5703125" style="64" customWidth="1"/>
    <col min="6375" max="6375" width="12.5703125" style="64" customWidth="1"/>
    <col min="6376" max="6376" width="12.28515625" style="64" customWidth="1"/>
    <col min="6377" max="6377" width="12.140625" style="64" customWidth="1"/>
    <col min="6378" max="6378" width="0" style="64" hidden="1" customWidth="1"/>
    <col min="6379" max="6379" width="11.28515625" style="64" customWidth="1"/>
    <col min="6380" max="6380" width="11.140625" style="64" customWidth="1"/>
    <col min="6381" max="6382" width="0" style="64" hidden="1" customWidth="1"/>
    <col min="6383" max="6383" width="8.85546875" style="64" bestFit="1" customWidth="1"/>
    <col min="6384" max="6621" width="11.42578125" style="64"/>
    <col min="6622" max="6622" width="5.28515625" style="64" customWidth="1"/>
    <col min="6623" max="6623" width="25.42578125" style="64" customWidth="1"/>
    <col min="6624" max="6624" width="13" style="64" customWidth="1"/>
    <col min="6625" max="6625" width="9.5703125" style="64" customWidth="1"/>
    <col min="6626" max="6626" width="12" style="64" customWidth="1"/>
    <col min="6627" max="6627" width="12.28515625" style="64" customWidth="1"/>
    <col min="6628" max="6628" width="11.28515625" style="64" customWidth="1"/>
    <col min="6629" max="6629" width="10.85546875" style="64" customWidth="1"/>
    <col min="6630" max="6630" width="11.5703125" style="64" customWidth="1"/>
    <col min="6631" max="6631" width="12.5703125" style="64" customWidth="1"/>
    <col min="6632" max="6632" width="12.28515625" style="64" customWidth="1"/>
    <col min="6633" max="6633" width="12.140625" style="64" customWidth="1"/>
    <col min="6634" max="6634" width="0" style="64" hidden="1" customWidth="1"/>
    <col min="6635" max="6635" width="11.28515625" style="64" customWidth="1"/>
    <col min="6636" max="6636" width="11.140625" style="64" customWidth="1"/>
    <col min="6637" max="6638" width="0" style="64" hidden="1" customWidth="1"/>
    <col min="6639" max="6639" width="8.85546875" style="64" bestFit="1" customWidth="1"/>
    <col min="6640" max="6877" width="11.42578125" style="64"/>
    <col min="6878" max="6878" width="5.28515625" style="64" customWidth="1"/>
    <col min="6879" max="6879" width="25.42578125" style="64" customWidth="1"/>
    <col min="6880" max="6880" width="13" style="64" customWidth="1"/>
    <col min="6881" max="6881" width="9.5703125" style="64" customWidth="1"/>
    <col min="6882" max="6882" width="12" style="64" customWidth="1"/>
    <col min="6883" max="6883" width="12.28515625" style="64" customWidth="1"/>
    <col min="6884" max="6884" width="11.28515625" style="64" customWidth="1"/>
    <col min="6885" max="6885" width="10.85546875" style="64" customWidth="1"/>
    <col min="6886" max="6886" width="11.5703125" style="64" customWidth="1"/>
    <col min="6887" max="6887" width="12.5703125" style="64" customWidth="1"/>
    <col min="6888" max="6888" width="12.28515625" style="64" customWidth="1"/>
    <col min="6889" max="6889" width="12.140625" style="64" customWidth="1"/>
    <col min="6890" max="6890" width="0" style="64" hidden="1" customWidth="1"/>
    <col min="6891" max="6891" width="11.28515625" style="64" customWidth="1"/>
    <col min="6892" max="6892" width="11.140625" style="64" customWidth="1"/>
    <col min="6893" max="6894" width="0" style="64" hidden="1" customWidth="1"/>
    <col min="6895" max="6895" width="8.85546875" style="64" bestFit="1" customWidth="1"/>
    <col min="6896" max="7133" width="11.42578125" style="64"/>
    <col min="7134" max="7134" width="5.28515625" style="64" customWidth="1"/>
    <col min="7135" max="7135" width="25.42578125" style="64" customWidth="1"/>
    <col min="7136" max="7136" width="13" style="64" customWidth="1"/>
    <col min="7137" max="7137" width="9.5703125" style="64" customWidth="1"/>
    <col min="7138" max="7138" width="12" style="64" customWidth="1"/>
    <col min="7139" max="7139" width="12.28515625" style="64" customWidth="1"/>
    <col min="7140" max="7140" width="11.28515625" style="64" customWidth="1"/>
    <col min="7141" max="7141" width="10.85546875" style="64" customWidth="1"/>
    <col min="7142" max="7142" width="11.5703125" style="64" customWidth="1"/>
    <col min="7143" max="7143" width="12.5703125" style="64" customWidth="1"/>
    <col min="7144" max="7144" width="12.28515625" style="64" customWidth="1"/>
    <col min="7145" max="7145" width="12.140625" style="64" customWidth="1"/>
    <col min="7146" max="7146" width="0" style="64" hidden="1" customWidth="1"/>
    <col min="7147" max="7147" width="11.28515625" style="64" customWidth="1"/>
    <col min="7148" max="7148" width="11.140625" style="64" customWidth="1"/>
    <col min="7149" max="7150" width="0" style="64" hidden="1" customWidth="1"/>
    <col min="7151" max="7151" width="8.85546875" style="64" bestFit="1" customWidth="1"/>
    <col min="7152" max="7389" width="11.42578125" style="64"/>
    <col min="7390" max="7390" width="5.28515625" style="64" customWidth="1"/>
    <col min="7391" max="7391" width="25.42578125" style="64" customWidth="1"/>
    <col min="7392" max="7392" width="13" style="64" customWidth="1"/>
    <col min="7393" max="7393" width="9.5703125" style="64" customWidth="1"/>
    <col min="7394" max="7394" width="12" style="64" customWidth="1"/>
    <col min="7395" max="7395" width="12.28515625" style="64" customWidth="1"/>
    <col min="7396" max="7396" width="11.28515625" style="64" customWidth="1"/>
    <col min="7397" max="7397" width="10.85546875" style="64" customWidth="1"/>
    <col min="7398" max="7398" width="11.5703125" style="64" customWidth="1"/>
    <col min="7399" max="7399" width="12.5703125" style="64" customWidth="1"/>
    <col min="7400" max="7400" width="12.28515625" style="64" customWidth="1"/>
    <col min="7401" max="7401" width="12.140625" style="64" customWidth="1"/>
    <col min="7402" max="7402" width="0" style="64" hidden="1" customWidth="1"/>
    <col min="7403" max="7403" width="11.28515625" style="64" customWidth="1"/>
    <col min="7404" max="7404" width="11.140625" style="64" customWidth="1"/>
    <col min="7405" max="7406" width="0" style="64" hidden="1" customWidth="1"/>
    <col min="7407" max="7407" width="8.85546875" style="64" bestFit="1" customWidth="1"/>
    <col min="7408" max="7645" width="11.42578125" style="64"/>
    <col min="7646" max="7646" width="5.28515625" style="64" customWidth="1"/>
    <col min="7647" max="7647" width="25.42578125" style="64" customWidth="1"/>
    <col min="7648" max="7648" width="13" style="64" customWidth="1"/>
    <col min="7649" max="7649" width="9.5703125" style="64" customWidth="1"/>
    <col min="7650" max="7650" width="12" style="64" customWidth="1"/>
    <col min="7651" max="7651" width="12.28515625" style="64" customWidth="1"/>
    <col min="7652" max="7652" width="11.28515625" style="64" customWidth="1"/>
    <col min="7653" max="7653" width="10.85546875" style="64" customWidth="1"/>
    <col min="7654" max="7654" width="11.5703125" style="64" customWidth="1"/>
    <col min="7655" max="7655" width="12.5703125" style="64" customWidth="1"/>
    <col min="7656" max="7656" width="12.28515625" style="64" customWidth="1"/>
    <col min="7657" max="7657" width="12.140625" style="64" customWidth="1"/>
    <col min="7658" max="7658" width="0" style="64" hidden="1" customWidth="1"/>
    <col min="7659" max="7659" width="11.28515625" style="64" customWidth="1"/>
    <col min="7660" max="7660" width="11.140625" style="64" customWidth="1"/>
    <col min="7661" max="7662" width="0" style="64" hidden="1" customWidth="1"/>
    <col min="7663" max="7663" width="8.85546875" style="64" bestFit="1" customWidth="1"/>
    <col min="7664" max="7901" width="11.42578125" style="64"/>
    <col min="7902" max="7902" width="5.28515625" style="64" customWidth="1"/>
    <col min="7903" max="7903" width="25.42578125" style="64" customWidth="1"/>
    <col min="7904" max="7904" width="13" style="64" customWidth="1"/>
    <col min="7905" max="7905" width="9.5703125" style="64" customWidth="1"/>
    <col min="7906" max="7906" width="12" style="64" customWidth="1"/>
    <col min="7907" max="7907" width="12.28515625" style="64" customWidth="1"/>
    <col min="7908" max="7908" width="11.28515625" style="64" customWidth="1"/>
    <col min="7909" max="7909" width="10.85546875" style="64" customWidth="1"/>
    <col min="7910" max="7910" width="11.5703125" style="64" customWidth="1"/>
    <col min="7911" max="7911" width="12.5703125" style="64" customWidth="1"/>
    <col min="7912" max="7912" width="12.28515625" style="64" customWidth="1"/>
    <col min="7913" max="7913" width="12.140625" style="64" customWidth="1"/>
    <col min="7914" max="7914" width="0" style="64" hidden="1" customWidth="1"/>
    <col min="7915" max="7915" width="11.28515625" style="64" customWidth="1"/>
    <col min="7916" max="7916" width="11.140625" style="64" customWidth="1"/>
    <col min="7917" max="7918" width="0" style="64" hidden="1" customWidth="1"/>
    <col min="7919" max="7919" width="8.85546875" style="64" bestFit="1" customWidth="1"/>
    <col min="7920" max="8157" width="11.42578125" style="64"/>
    <col min="8158" max="8158" width="5.28515625" style="64" customWidth="1"/>
    <col min="8159" max="8159" width="25.42578125" style="64" customWidth="1"/>
    <col min="8160" max="8160" width="13" style="64" customWidth="1"/>
    <col min="8161" max="8161" width="9.5703125" style="64" customWidth="1"/>
    <col min="8162" max="8162" width="12" style="64" customWidth="1"/>
    <col min="8163" max="8163" width="12.28515625" style="64" customWidth="1"/>
    <col min="8164" max="8164" width="11.28515625" style="64" customWidth="1"/>
    <col min="8165" max="8165" width="10.85546875" style="64" customWidth="1"/>
    <col min="8166" max="8166" width="11.5703125" style="64" customWidth="1"/>
    <col min="8167" max="8167" width="12.5703125" style="64" customWidth="1"/>
    <col min="8168" max="8168" width="12.28515625" style="64" customWidth="1"/>
    <col min="8169" max="8169" width="12.140625" style="64" customWidth="1"/>
    <col min="8170" max="8170" width="0" style="64" hidden="1" customWidth="1"/>
    <col min="8171" max="8171" width="11.28515625" style="64" customWidth="1"/>
    <col min="8172" max="8172" width="11.140625" style="64" customWidth="1"/>
    <col min="8173" max="8174" width="0" style="64" hidden="1" customWidth="1"/>
    <col min="8175" max="8175" width="8.85546875" style="64" bestFit="1" customWidth="1"/>
    <col min="8176" max="8413" width="11.42578125" style="64"/>
    <col min="8414" max="8414" width="5.28515625" style="64" customWidth="1"/>
    <col min="8415" max="8415" width="25.42578125" style="64" customWidth="1"/>
    <col min="8416" max="8416" width="13" style="64" customWidth="1"/>
    <col min="8417" max="8417" width="9.5703125" style="64" customWidth="1"/>
    <col min="8418" max="8418" width="12" style="64" customWidth="1"/>
    <col min="8419" max="8419" width="12.28515625" style="64" customWidth="1"/>
    <col min="8420" max="8420" width="11.28515625" style="64" customWidth="1"/>
    <col min="8421" max="8421" width="10.85546875" style="64" customWidth="1"/>
    <col min="8422" max="8422" width="11.5703125" style="64" customWidth="1"/>
    <col min="8423" max="8423" width="12.5703125" style="64" customWidth="1"/>
    <col min="8424" max="8424" width="12.28515625" style="64" customWidth="1"/>
    <col min="8425" max="8425" width="12.140625" style="64" customWidth="1"/>
    <col min="8426" max="8426" width="0" style="64" hidden="1" customWidth="1"/>
    <col min="8427" max="8427" width="11.28515625" style="64" customWidth="1"/>
    <col min="8428" max="8428" width="11.140625" style="64" customWidth="1"/>
    <col min="8429" max="8430" width="0" style="64" hidden="1" customWidth="1"/>
    <col min="8431" max="8431" width="8.85546875" style="64" bestFit="1" customWidth="1"/>
    <col min="8432" max="8669" width="11.42578125" style="64"/>
    <col min="8670" max="8670" width="5.28515625" style="64" customWidth="1"/>
    <col min="8671" max="8671" width="25.42578125" style="64" customWidth="1"/>
    <col min="8672" max="8672" width="13" style="64" customWidth="1"/>
    <col min="8673" max="8673" width="9.5703125" style="64" customWidth="1"/>
    <col min="8674" max="8674" width="12" style="64" customWidth="1"/>
    <col min="8675" max="8675" width="12.28515625" style="64" customWidth="1"/>
    <col min="8676" max="8676" width="11.28515625" style="64" customWidth="1"/>
    <col min="8677" max="8677" width="10.85546875" style="64" customWidth="1"/>
    <col min="8678" max="8678" width="11.5703125" style="64" customWidth="1"/>
    <col min="8679" max="8679" width="12.5703125" style="64" customWidth="1"/>
    <col min="8680" max="8680" width="12.28515625" style="64" customWidth="1"/>
    <col min="8681" max="8681" width="12.140625" style="64" customWidth="1"/>
    <col min="8682" max="8682" width="0" style="64" hidden="1" customWidth="1"/>
    <col min="8683" max="8683" width="11.28515625" style="64" customWidth="1"/>
    <col min="8684" max="8684" width="11.140625" style="64" customWidth="1"/>
    <col min="8685" max="8686" width="0" style="64" hidden="1" customWidth="1"/>
    <col min="8687" max="8687" width="8.85546875" style="64" bestFit="1" customWidth="1"/>
    <col min="8688" max="8925" width="11.42578125" style="64"/>
    <col min="8926" max="8926" width="5.28515625" style="64" customWidth="1"/>
    <col min="8927" max="8927" width="25.42578125" style="64" customWidth="1"/>
    <col min="8928" max="8928" width="13" style="64" customWidth="1"/>
    <col min="8929" max="8929" width="9.5703125" style="64" customWidth="1"/>
    <col min="8930" max="8930" width="12" style="64" customWidth="1"/>
    <col min="8931" max="8931" width="12.28515625" style="64" customWidth="1"/>
    <col min="8932" max="8932" width="11.28515625" style="64" customWidth="1"/>
    <col min="8933" max="8933" width="10.85546875" style="64" customWidth="1"/>
    <col min="8934" max="8934" width="11.5703125" style="64" customWidth="1"/>
    <col min="8935" max="8935" width="12.5703125" style="64" customWidth="1"/>
    <col min="8936" max="8936" width="12.28515625" style="64" customWidth="1"/>
    <col min="8937" max="8937" width="12.140625" style="64" customWidth="1"/>
    <col min="8938" max="8938" width="0" style="64" hidden="1" customWidth="1"/>
    <col min="8939" max="8939" width="11.28515625" style="64" customWidth="1"/>
    <col min="8940" max="8940" width="11.140625" style="64" customWidth="1"/>
    <col min="8941" max="8942" width="0" style="64" hidden="1" customWidth="1"/>
    <col min="8943" max="8943" width="8.85546875" style="64" bestFit="1" customWidth="1"/>
    <col min="8944" max="9181" width="11.42578125" style="64"/>
    <col min="9182" max="9182" width="5.28515625" style="64" customWidth="1"/>
    <col min="9183" max="9183" width="25.42578125" style="64" customWidth="1"/>
    <col min="9184" max="9184" width="13" style="64" customWidth="1"/>
    <col min="9185" max="9185" width="9.5703125" style="64" customWidth="1"/>
    <col min="9186" max="9186" width="12" style="64" customWidth="1"/>
    <col min="9187" max="9187" width="12.28515625" style="64" customWidth="1"/>
    <col min="9188" max="9188" width="11.28515625" style="64" customWidth="1"/>
    <col min="9189" max="9189" width="10.85546875" style="64" customWidth="1"/>
    <col min="9190" max="9190" width="11.5703125" style="64" customWidth="1"/>
    <col min="9191" max="9191" width="12.5703125" style="64" customWidth="1"/>
    <col min="9192" max="9192" width="12.28515625" style="64" customWidth="1"/>
    <col min="9193" max="9193" width="12.140625" style="64" customWidth="1"/>
    <col min="9194" max="9194" width="0" style="64" hidden="1" customWidth="1"/>
    <col min="9195" max="9195" width="11.28515625" style="64" customWidth="1"/>
    <col min="9196" max="9196" width="11.140625" style="64" customWidth="1"/>
    <col min="9197" max="9198" width="0" style="64" hidden="1" customWidth="1"/>
    <col min="9199" max="9199" width="8.85546875" style="64" bestFit="1" customWidth="1"/>
    <col min="9200" max="9437" width="11.42578125" style="64"/>
    <col min="9438" max="9438" width="5.28515625" style="64" customWidth="1"/>
    <col min="9439" max="9439" width="25.42578125" style="64" customWidth="1"/>
    <col min="9440" max="9440" width="13" style="64" customWidth="1"/>
    <col min="9441" max="9441" width="9.5703125" style="64" customWidth="1"/>
    <col min="9442" max="9442" width="12" style="64" customWidth="1"/>
    <col min="9443" max="9443" width="12.28515625" style="64" customWidth="1"/>
    <col min="9444" max="9444" width="11.28515625" style="64" customWidth="1"/>
    <col min="9445" max="9445" width="10.85546875" style="64" customWidth="1"/>
    <col min="9446" max="9446" width="11.5703125" style="64" customWidth="1"/>
    <col min="9447" max="9447" width="12.5703125" style="64" customWidth="1"/>
    <col min="9448" max="9448" width="12.28515625" style="64" customWidth="1"/>
    <col min="9449" max="9449" width="12.140625" style="64" customWidth="1"/>
    <col min="9450" max="9450" width="0" style="64" hidden="1" customWidth="1"/>
    <col min="9451" max="9451" width="11.28515625" style="64" customWidth="1"/>
    <col min="9452" max="9452" width="11.140625" style="64" customWidth="1"/>
    <col min="9453" max="9454" width="0" style="64" hidden="1" customWidth="1"/>
    <col min="9455" max="9455" width="8.85546875" style="64" bestFit="1" customWidth="1"/>
    <col min="9456" max="9693" width="11.42578125" style="64"/>
    <col min="9694" max="9694" width="5.28515625" style="64" customWidth="1"/>
    <col min="9695" max="9695" width="25.42578125" style="64" customWidth="1"/>
    <col min="9696" max="9696" width="13" style="64" customWidth="1"/>
    <col min="9697" max="9697" width="9.5703125" style="64" customWidth="1"/>
    <col min="9698" max="9698" width="12" style="64" customWidth="1"/>
    <col min="9699" max="9699" width="12.28515625" style="64" customWidth="1"/>
    <col min="9700" max="9700" width="11.28515625" style="64" customWidth="1"/>
    <col min="9701" max="9701" width="10.85546875" style="64" customWidth="1"/>
    <col min="9702" max="9702" width="11.5703125" style="64" customWidth="1"/>
    <col min="9703" max="9703" width="12.5703125" style="64" customWidth="1"/>
    <col min="9704" max="9704" width="12.28515625" style="64" customWidth="1"/>
    <col min="9705" max="9705" width="12.140625" style="64" customWidth="1"/>
    <col min="9706" max="9706" width="0" style="64" hidden="1" customWidth="1"/>
    <col min="9707" max="9707" width="11.28515625" style="64" customWidth="1"/>
    <col min="9708" max="9708" width="11.140625" style="64" customWidth="1"/>
    <col min="9709" max="9710" width="0" style="64" hidden="1" customWidth="1"/>
    <col min="9711" max="9711" width="8.85546875" style="64" bestFit="1" customWidth="1"/>
    <col min="9712" max="9949" width="11.42578125" style="64"/>
    <col min="9950" max="9950" width="5.28515625" style="64" customWidth="1"/>
    <col min="9951" max="9951" width="25.42578125" style="64" customWidth="1"/>
    <col min="9952" max="9952" width="13" style="64" customWidth="1"/>
    <col min="9953" max="9953" width="9.5703125" style="64" customWidth="1"/>
    <col min="9954" max="9954" width="12" style="64" customWidth="1"/>
    <col min="9955" max="9955" width="12.28515625" style="64" customWidth="1"/>
    <col min="9956" max="9956" width="11.28515625" style="64" customWidth="1"/>
    <col min="9957" max="9957" width="10.85546875" style="64" customWidth="1"/>
    <col min="9958" max="9958" width="11.5703125" style="64" customWidth="1"/>
    <col min="9959" max="9959" width="12.5703125" style="64" customWidth="1"/>
    <col min="9960" max="9960" width="12.28515625" style="64" customWidth="1"/>
    <col min="9961" max="9961" width="12.140625" style="64" customWidth="1"/>
    <col min="9962" max="9962" width="0" style="64" hidden="1" customWidth="1"/>
    <col min="9963" max="9963" width="11.28515625" style="64" customWidth="1"/>
    <col min="9964" max="9964" width="11.140625" style="64" customWidth="1"/>
    <col min="9965" max="9966" width="0" style="64" hidden="1" customWidth="1"/>
    <col min="9967" max="9967" width="8.85546875" style="64" bestFit="1" customWidth="1"/>
    <col min="9968" max="10205" width="11.42578125" style="64"/>
    <col min="10206" max="10206" width="5.28515625" style="64" customWidth="1"/>
    <col min="10207" max="10207" width="25.42578125" style="64" customWidth="1"/>
    <col min="10208" max="10208" width="13" style="64" customWidth="1"/>
    <col min="10209" max="10209" width="9.5703125" style="64" customWidth="1"/>
    <col min="10210" max="10210" width="12" style="64" customWidth="1"/>
    <col min="10211" max="10211" width="12.28515625" style="64" customWidth="1"/>
    <col min="10212" max="10212" width="11.28515625" style="64" customWidth="1"/>
    <col min="10213" max="10213" width="10.85546875" style="64" customWidth="1"/>
    <col min="10214" max="10214" width="11.5703125" style="64" customWidth="1"/>
    <col min="10215" max="10215" width="12.5703125" style="64" customWidth="1"/>
    <col min="10216" max="10216" width="12.28515625" style="64" customWidth="1"/>
    <col min="10217" max="10217" width="12.140625" style="64" customWidth="1"/>
    <col min="10218" max="10218" width="0" style="64" hidden="1" customWidth="1"/>
    <col min="10219" max="10219" width="11.28515625" style="64" customWidth="1"/>
    <col min="10220" max="10220" width="11.140625" style="64" customWidth="1"/>
    <col min="10221" max="10222" width="0" style="64" hidden="1" customWidth="1"/>
    <col min="10223" max="10223" width="8.85546875" style="64" bestFit="1" customWidth="1"/>
    <col min="10224" max="10461" width="11.42578125" style="64"/>
    <col min="10462" max="10462" width="5.28515625" style="64" customWidth="1"/>
    <col min="10463" max="10463" width="25.42578125" style="64" customWidth="1"/>
    <col min="10464" max="10464" width="13" style="64" customWidth="1"/>
    <col min="10465" max="10465" width="9.5703125" style="64" customWidth="1"/>
    <col min="10466" max="10466" width="12" style="64" customWidth="1"/>
    <col min="10467" max="10467" width="12.28515625" style="64" customWidth="1"/>
    <col min="10468" max="10468" width="11.28515625" style="64" customWidth="1"/>
    <col min="10469" max="10469" width="10.85546875" style="64" customWidth="1"/>
    <col min="10470" max="10470" width="11.5703125" style="64" customWidth="1"/>
    <col min="10471" max="10471" width="12.5703125" style="64" customWidth="1"/>
    <col min="10472" max="10472" width="12.28515625" style="64" customWidth="1"/>
    <col min="10473" max="10473" width="12.140625" style="64" customWidth="1"/>
    <col min="10474" max="10474" width="0" style="64" hidden="1" customWidth="1"/>
    <col min="10475" max="10475" width="11.28515625" style="64" customWidth="1"/>
    <col min="10476" max="10476" width="11.140625" style="64" customWidth="1"/>
    <col min="10477" max="10478" width="0" style="64" hidden="1" customWidth="1"/>
    <col min="10479" max="10479" width="8.85546875" style="64" bestFit="1" customWidth="1"/>
    <col min="10480" max="10717" width="11.42578125" style="64"/>
    <col min="10718" max="10718" width="5.28515625" style="64" customWidth="1"/>
    <col min="10719" max="10719" width="25.42578125" style="64" customWidth="1"/>
    <col min="10720" max="10720" width="13" style="64" customWidth="1"/>
    <col min="10721" max="10721" width="9.5703125" style="64" customWidth="1"/>
    <col min="10722" max="10722" width="12" style="64" customWidth="1"/>
    <col min="10723" max="10723" width="12.28515625" style="64" customWidth="1"/>
    <col min="10724" max="10724" width="11.28515625" style="64" customWidth="1"/>
    <col min="10725" max="10725" width="10.85546875" style="64" customWidth="1"/>
    <col min="10726" max="10726" width="11.5703125" style="64" customWidth="1"/>
    <col min="10727" max="10727" width="12.5703125" style="64" customWidth="1"/>
    <col min="10728" max="10728" width="12.28515625" style="64" customWidth="1"/>
    <col min="10729" max="10729" width="12.140625" style="64" customWidth="1"/>
    <col min="10730" max="10730" width="0" style="64" hidden="1" customWidth="1"/>
    <col min="10731" max="10731" width="11.28515625" style="64" customWidth="1"/>
    <col min="10732" max="10732" width="11.140625" style="64" customWidth="1"/>
    <col min="10733" max="10734" width="0" style="64" hidden="1" customWidth="1"/>
    <col min="10735" max="10735" width="8.85546875" style="64" bestFit="1" customWidth="1"/>
    <col min="10736" max="10973" width="11.42578125" style="64"/>
    <col min="10974" max="10974" width="5.28515625" style="64" customWidth="1"/>
    <col min="10975" max="10975" width="25.42578125" style="64" customWidth="1"/>
    <col min="10976" max="10976" width="13" style="64" customWidth="1"/>
    <col min="10977" max="10977" width="9.5703125" style="64" customWidth="1"/>
    <col min="10978" max="10978" width="12" style="64" customWidth="1"/>
    <col min="10979" max="10979" width="12.28515625" style="64" customWidth="1"/>
    <col min="10980" max="10980" width="11.28515625" style="64" customWidth="1"/>
    <col min="10981" max="10981" width="10.85546875" style="64" customWidth="1"/>
    <col min="10982" max="10982" width="11.5703125" style="64" customWidth="1"/>
    <col min="10983" max="10983" width="12.5703125" style="64" customWidth="1"/>
    <col min="10984" max="10984" width="12.28515625" style="64" customWidth="1"/>
    <col min="10985" max="10985" width="12.140625" style="64" customWidth="1"/>
    <col min="10986" max="10986" width="0" style="64" hidden="1" customWidth="1"/>
    <col min="10987" max="10987" width="11.28515625" style="64" customWidth="1"/>
    <col min="10988" max="10988" width="11.140625" style="64" customWidth="1"/>
    <col min="10989" max="10990" width="0" style="64" hidden="1" customWidth="1"/>
    <col min="10991" max="10991" width="8.85546875" style="64" bestFit="1" customWidth="1"/>
    <col min="10992" max="11229" width="11.42578125" style="64"/>
    <col min="11230" max="11230" width="5.28515625" style="64" customWidth="1"/>
    <col min="11231" max="11231" width="25.42578125" style="64" customWidth="1"/>
    <col min="11232" max="11232" width="13" style="64" customWidth="1"/>
    <col min="11233" max="11233" width="9.5703125" style="64" customWidth="1"/>
    <col min="11234" max="11234" width="12" style="64" customWidth="1"/>
    <col min="11235" max="11235" width="12.28515625" style="64" customWidth="1"/>
    <col min="11236" max="11236" width="11.28515625" style="64" customWidth="1"/>
    <col min="11237" max="11237" width="10.85546875" style="64" customWidth="1"/>
    <col min="11238" max="11238" width="11.5703125" style="64" customWidth="1"/>
    <col min="11239" max="11239" width="12.5703125" style="64" customWidth="1"/>
    <col min="11240" max="11240" width="12.28515625" style="64" customWidth="1"/>
    <col min="11241" max="11241" width="12.140625" style="64" customWidth="1"/>
    <col min="11242" max="11242" width="0" style="64" hidden="1" customWidth="1"/>
    <col min="11243" max="11243" width="11.28515625" style="64" customWidth="1"/>
    <col min="11244" max="11244" width="11.140625" style="64" customWidth="1"/>
    <col min="11245" max="11246" width="0" style="64" hidden="1" customWidth="1"/>
    <col min="11247" max="11247" width="8.85546875" style="64" bestFit="1" customWidth="1"/>
    <col min="11248" max="11485" width="11.42578125" style="64"/>
    <col min="11486" max="11486" width="5.28515625" style="64" customWidth="1"/>
    <col min="11487" max="11487" width="25.42578125" style="64" customWidth="1"/>
    <col min="11488" max="11488" width="13" style="64" customWidth="1"/>
    <col min="11489" max="11489" width="9.5703125" style="64" customWidth="1"/>
    <col min="11490" max="11490" width="12" style="64" customWidth="1"/>
    <col min="11491" max="11491" width="12.28515625" style="64" customWidth="1"/>
    <col min="11492" max="11492" width="11.28515625" style="64" customWidth="1"/>
    <col min="11493" max="11493" width="10.85546875" style="64" customWidth="1"/>
    <col min="11494" max="11494" width="11.5703125" style="64" customWidth="1"/>
    <col min="11495" max="11495" width="12.5703125" style="64" customWidth="1"/>
    <col min="11496" max="11496" width="12.28515625" style="64" customWidth="1"/>
    <col min="11497" max="11497" width="12.140625" style="64" customWidth="1"/>
    <col min="11498" max="11498" width="0" style="64" hidden="1" customWidth="1"/>
    <col min="11499" max="11499" width="11.28515625" style="64" customWidth="1"/>
    <col min="11500" max="11500" width="11.140625" style="64" customWidth="1"/>
    <col min="11501" max="11502" width="0" style="64" hidden="1" customWidth="1"/>
    <col min="11503" max="11503" width="8.85546875" style="64" bestFit="1" customWidth="1"/>
    <col min="11504" max="11741" width="11.42578125" style="64"/>
    <col min="11742" max="11742" width="5.28515625" style="64" customWidth="1"/>
    <col min="11743" max="11743" width="25.42578125" style="64" customWidth="1"/>
    <col min="11744" max="11744" width="13" style="64" customWidth="1"/>
    <col min="11745" max="11745" width="9.5703125" style="64" customWidth="1"/>
    <col min="11746" max="11746" width="12" style="64" customWidth="1"/>
    <col min="11747" max="11747" width="12.28515625" style="64" customWidth="1"/>
    <col min="11748" max="11748" width="11.28515625" style="64" customWidth="1"/>
    <col min="11749" max="11749" width="10.85546875" style="64" customWidth="1"/>
    <col min="11750" max="11750" width="11.5703125" style="64" customWidth="1"/>
    <col min="11751" max="11751" width="12.5703125" style="64" customWidth="1"/>
    <col min="11752" max="11752" width="12.28515625" style="64" customWidth="1"/>
    <col min="11753" max="11753" width="12.140625" style="64" customWidth="1"/>
    <col min="11754" max="11754" width="0" style="64" hidden="1" customWidth="1"/>
    <col min="11755" max="11755" width="11.28515625" style="64" customWidth="1"/>
    <col min="11756" max="11756" width="11.140625" style="64" customWidth="1"/>
    <col min="11757" max="11758" width="0" style="64" hidden="1" customWidth="1"/>
    <col min="11759" max="11759" width="8.85546875" style="64" bestFit="1" customWidth="1"/>
    <col min="11760" max="11997" width="11.42578125" style="64"/>
    <col min="11998" max="11998" width="5.28515625" style="64" customWidth="1"/>
    <col min="11999" max="11999" width="25.42578125" style="64" customWidth="1"/>
    <col min="12000" max="12000" width="13" style="64" customWidth="1"/>
    <col min="12001" max="12001" width="9.5703125" style="64" customWidth="1"/>
    <col min="12002" max="12002" width="12" style="64" customWidth="1"/>
    <col min="12003" max="12003" width="12.28515625" style="64" customWidth="1"/>
    <col min="12004" max="12004" width="11.28515625" style="64" customWidth="1"/>
    <col min="12005" max="12005" width="10.85546875" style="64" customWidth="1"/>
    <col min="12006" max="12006" width="11.5703125" style="64" customWidth="1"/>
    <col min="12007" max="12007" width="12.5703125" style="64" customWidth="1"/>
    <col min="12008" max="12008" width="12.28515625" style="64" customWidth="1"/>
    <col min="12009" max="12009" width="12.140625" style="64" customWidth="1"/>
    <col min="12010" max="12010" width="0" style="64" hidden="1" customWidth="1"/>
    <col min="12011" max="12011" width="11.28515625" style="64" customWidth="1"/>
    <col min="12012" max="12012" width="11.140625" style="64" customWidth="1"/>
    <col min="12013" max="12014" width="0" style="64" hidden="1" customWidth="1"/>
    <col min="12015" max="12015" width="8.85546875" style="64" bestFit="1" customWidth="1"/>
    <col min="12016" max="12253" width="11.42578125" style="64"/>
    <col min="12254" max="12254" width="5.28515625" style="64" customWidth="1"/>
    <col min="12255" max="12255" width="25.42578125" style="64" customWidth="1"/>
    <col min="12256" max="12256" width="13" style="64" customWidth="1"/>
    <col min="12257" max="12257" width="9.5703125" style="64" customWidth="1"/>
    <col min="12258" max="12258" width="12" style="64" customWidth="1"/>
    <col min="12259" max="12259" width="12.28515625" style="64" customWidth="1"/>
    <col min="12260" max="12260" width="11.28515625" style="64" customWidth="1"/>
    <col min="12261" max="12261" width="10.85546875" style="64" customWidth="1"/>
    <col min="12262" max="12262" width="11.5703125" style="64" customWidth="1"/>
    <col min="12263" max="12263" width="12.5703125" style="64" customWidth="1"/>
    <col min="12264" max="12264" width="12.28515625" style="64" customWidth="1"/>
    <col min="12265" max="12265" width="12.140625" style="64" customWidth="1"/>
    <col min="12266" max="12266" width="0" style="64" hidden="1" customWidth="1"/>
    <col min="12267" max="12267" width="11.28515625" style="64" customWidth="1"/>
    <col min="12268" max="12268" width="11.140625" style="64" customWidth="1"/>
    <col min="12269" max="12270" width="0" style="64" hidden="1" customWidth="1"/>
    <col min="12271" max="12271" width="8.85546875" style="64" bestFit="1" customWidth="1"/>
    <col min="12272" max="12509" width="11.42578125" style="64"/>
    <col min="12510" max="12510" width="5.28515625" style="64" customWidth="1"/>
    <col min="12511" max="12511" width="25.42578125" style="64" customWidth="1"/>
    <col min="12512" max="12512" width="13" style="64" customWidth="1"/>
    <col min="12513" max="12513" width="9.5703125" style="64" customWidth="1"/>
    <col min="12514" max="12514" width="12" style="64" customWidth="1"/>
    <col min="12515" max="12515" width="12.28515625" style="64" customWidth="1"/>
    <col min="12516" max="12516" width="11.28515625" style="64" customWidth="1"/>
    <col min="12517" max="12517" width="10.85546875" style="64" customWidth="1"/>
    <col min="12518" max="12518" width="11.5703125" style="64" customWidth="1"/>
    <col min="12519" max="12519" width="12.5703125" style="64" customWidth="1"/>
    <col min="12520" max="12520" width="12.28515625" style="64" customWidth="1"/>
    <col min="12521" max="12521" width="12.140625" style="64" customWidth="1"/>
    <col min="12522" max="12522" width="0" style="64" hidden="1" customWidth="1"/>
    <col min="12523" max="12523" width="11.28515625" style="64" customWidth="1"/>
    <col min="12524" max="12524" width="11.140625" style="64" customWidth="1"/>
    <col min="12525" max="12526" width="0" style="64" hidden="1" customWidth="1"/>
    <col min="12527" max="12527" width="8.85546875" style="64" bestFit="1" customWidth="1"/>
    <col min="12528" max="12765" width="11.42578125" style="64"/>
    <col min="12766" max="12766" width="5.28515625" style="64" customWidth="1"/>
    <col min="12767" max="12767" width="25.42578125" style="64" customWidth="1"/>
    <col min="12768" max="12768" width="13" style="64" customWidth="1"/>
    <col min="12769" max="12769" width="9.5703125" style="64" customWidth="1"/>
    <col min="12770" max="12770" width="12" style="64" customWidth="1"/>
    <col min="12771" max="12771" width="12.28515625" style="64" customWidth="1"/>
    <col min="12772" max="12772" width="11.28515625" style="64" customWidth="1"/>
    <col min="12773" max="12773" width="10.85546875" style="64" customWidth="1"/>
    <col min="12774" max="12774" width="11.5703125" style="64" customWidth="1"/>
    <col min="12775" max="12775" width="12.5703125" style="64" customWidth="1"/>
    <col min="12776" max="12776" width="12.28515625" style="64" customWidth="1"/>
    <col min="12777" max="12777" width="12.140625" style="64" customWidth="1"/>
    <col min="12778" max="12778" width="0" style="64" hidden="1" customWidth="1"/>
    <col min="12779" max="12779" width="11.28515625" style="64" customWidth="1"/>
    <col min="12780" max="12780" width="11.140625" style="64" customWidth="1"/>
    <col min="12781" max="12782" width="0" style="64" hidden="1" customWidth="1"/>
    <col min="12783" max="12783" width="8.85546875" style="64" bestFit="1" customWidth="1"/>
    <col min="12784" max="13021" width="11.42578125" style="64"/>
    <col min="13022" max="13022" width="5.28515625" style="64" customWidth="1"/>
    <col min="13023" max="13023" width="25.42578125" style="64" customWidth="1"/>
    <col min="13024" max="13024" width="13" style="64" customWidth="1"/>
    <col min="13025" max="13025" width="9.5703125" style="64" customWidth="1"/>
    <col min="13026" max="13026" width="12" style="64" customWidth="1"/>
    <col min="13027" max="13027" width="12.28515625" style="64" customWidth="1"/>
    <col min="13028" max="13028" width="11.28515625" style="64" customWidth="1"/>
    <col min="13029" max="13029" width="10.85546875" style="64" customWidth="1"/>
    <col min="13030" max="13030" width="11.5703125" style="64" customWidth="1"/>
    <col min="13031" max="13031" width="12.5703125" style="64" customWidth="1"/>
    <col min="13032" max="13032" width="12.28515625" style="64" customWidth="1"/>
    <col min="13033" max="13033" width="12.140625" style="64" customWidth="1"/>
    <col min="13034" max="13034" width="0" style="64" hidden="1" customWidth="1"/>
    <col min="13035" max="13035" width="11.28515625" style="64" customWidth="1"/>
    <col min="13036" max="13036" width="11.140625" style="64" customWidth="1"/>
    <col min="13037" max="13038" width="0" style="64" hidden="1" customWidth="1"/>
    <col min="13039" max="13039" width="8.85546875" style="64" bestFit="1" customWidth="1"/>
    <col min="13040" max="13277" width="11.42578125" style="64"/>
    <col min="13278" max="13278" width="5.28515625" style="64" customWidth="1"/>
    <col min="13279" max="13279" width="25.42578125" style="64" customWidth="1"/>
    <col min="13280" max="13280" width="13" style="64" customWidth="1"/>
    <col min="13281" max="13281" width="9.5703125" style="64" customWidth="1"/>
    <col min="13282" max="13282" width="12" style="64" customWidth="1"/>
    <col min="13283" max="13283" width="12.28515625" style="64" customWidth="1"/>
    <col min="13284" max="13284" width="11.28515625" style="64" customWidth="1"/>
    <col min="13285" max="13285" width="10.85546875" style="64" customWidth="1"/>
    <col min="13286" max="13286" width="11.5703125" style="64" customWidth="1"/>
    <col min="13287" max="13287" width="12.5703125" style="64" customWidth="1"/>
    <col min="13288" max="13288" width="12.28515625" style="64" customWidth="1"/>
    <col min="13289" max="13289" width="12.140625" style="64" customWidth="1"/>
    <col min="13290" max="13290" width="0" style="64" hidden="1" customWidth="1"/>
    <col min="13291" max="13291" width="11.28515625" style="64" customWidth="1"/>
    <col min="13292" max="13292" width="11.140625" style="64" customWidth="1"/>
    <col min="13293" max="13294" width="0" style="64" hidden="1" customWidth="1"/>
    <col min="13295" max="13295" width="8.85546875" style="64" bestFit="1" customWidth="1"/>
    <col min="13296" max="13533" width="11.42578125" style="64"/>
    <col min="13534" max="13534" width="5.28515625" style="64" customWidth="1"/>
    <col min="13535" max="13535" width="25.42578125" style="64" customWidth="1"/>
    <col min="13536" max="13536" width="13" style="64" customWidth="1"/>
    <col min="13537" max="13537" width="9.5703125" style="64" customWidth="1"/>
    <col min="13538" max="13538" width="12" style="64" customWidth="1"/>
    <col min="13539" max="13539" width="12.28515625" style="64" customWidth="1"/>
    <col min="13540" max="13540" width="11.28515625" style="64" customWidth="1"/>
    <col min="13541" max="13541" width="10.85546875" style="64" customWidth="1"/>
    <col min="13542" max="13542" width="11.5703125" style="64" customWidth="1"/>
    <col min="13543" max="13543" width="12.5703125" style="64" customWidth="1"/>
    <col min="13544" max="13544" width="12.28515625" style="64" customWidth="1"/>
    <col min="13545" max="13545" width="12.140625" style="64" customWidth="1"/>
    <col min="13546" max="13546" width="0" style="64" hidden="1" customWidth="1"/>
    <col min="13547" max="13547" width="11.28515625" style="64" customWidth="1"/>
    <col min="13548" max="13548" width="11.140625" style="64" customWidth="1"/>
    <col min="13549" max="13550" width="0" style="64" hidden="1" customWidth="1"/>
    <col min="13551" max="13551" width="8.85546875" style="64" bestFit="1" customWidth="1"/>
    <col min="13552" max="13789" width="11.42578125" style="64"/>
    <col min="13790" max="13790" width="5.28515625" style="64" customWidth="1"/>
    <col min="13791" max="13791" width="25.42578125" style="64" customWidth="1"/>
    <col min="13792" max="13792" width="13" style="64" customWidth="1"/>
    <col min="13793" max="13793" width="9.5703125" style="64" customWidth="1"/>
    <col min="13794" max="13794" width="12" style="64" customWidth="1"/>
    <col min="13795" max="13795" width="12.28515625" style="64" customWidth="1"/>
    <col min="13796" max="13796" width="11.28515625" style="64" customWidth="1"/>
    <col min="13797" max="13797" width="10.85546875" style="64" customWidth="1"/>
    <col min="13798" max="13798" width="11.5703125" style="64" customWidth="1"/>
    <col min="13799" max="13799" width="12.5703125" style="64" customWidth="1"/>
    <col min="13800" max="13800" width="12.28515625" style="64" customWidth="1"/>
    <col min="13801" max="13801" width="12.140625" style="64" customWidth="1"/>
    <col min="13802" max="13802" width="0" style="64" hidden="1" customWidth="1"/>
    <col min="13803" max="13803" width="11.28515625" style="64" customWidth="1"/>
    <col min="13804" max="13804" width="11.140625" style="64" customWidth="1"/>
    <col min="13805" max="13806" width="0" style="64" hidden="1" customWidth="1"/>
    <col min="13807" max="13807" width="8.85546875" style="64" bestFit="1" customWidth="1"/>
    <col min="13808" max="14045" width="11.42578125" style="64"/>
    <col min="14046" max="14046" width="5.28515625" style="64" customWidth="1"/>
    <col min="14047" max="14047" width="25.42578125" style="64" customWidth="1"/>
    <col min="14048" max="14048" width="13" style="64" customWidth="1"/>
    <col min="14049" max="14049" width="9.5703125" style="64" customWidth="1"/>
    <col min="14050" max="14050" width="12" style="64" customWidth="1"/>
    <col min="14051" max="14051" width="12.28515625" style="64" customWidth="1"/>
    <col min="14052" max="14052" width="11.28515625" style="64" customWidth="1"/>
    <col min="14053" max="14053" width="10.85546875" style="64" customWidth="1"/>
    <col min="14054" max="14054" width="11.5703125" style="64" customWidth="1"/>
    <col min="14055" max="14055" width="12.5703125" style="64" customWidth="1"/>
    <col min="14056" max="14056" width="12.28515625" style="64" customWidth="1"/>
    <col min="14057" max="14057" width="12.140625" style="64" customWidth="1"/>
    <col min="14058" max="14058" width="0" style="64" hidden="1" customWidth="1"/>
    <col min="14059" max="14059" width="11.28515625" style="64" customWidth="1"/>
    <col min="14060" max="14060" width="11.140625" style="64" customWidth="1"/>
    <col min="14061" max="14062" width="0" style="64" hidden="1" customWidth="1"/>
    <col min="14063" max="14063" width="8.85546875" style="64" bestFit="1" customWidth="1"/>
    <col min="14064" max="14301" width="11.42578125" style="64"/>
    <col min="14302" max="14302" width="5.28515625" style="64" customWidth="1"/>
    <col min="14303" max="14303" width="25.42578125" style="64" customWidth="1"/>
    <col min="14304" max="14304" width="13" style="64" customWidth="1"/>
    <col min="14305" max="14305" width="9.5703125" style="64" customWidth="1"/>
    <col min="14306" max="14306" width="12" style="64" customWidth="1"/>
    <col min="14307" max="14307" width="12.28515625" style="64" customWidth="1"/>
    <col min="14308" max="14308" width="11.28515625" style="64" customWidth="1"/>
    <col min="14309" max="14309" width="10.85546875" style="64" customWidth="1"/>
    <col min="14310" max="14310" width="11.5703125" style="64" customWidth="1"/>
    <col min="14311" max="14311" width="12.5703125" style="64" customWidth="1"/>
    <col min="14312" max="14312" width="12.28515625" style="64" customWidth="1"/>
    <col min="14313" max="14313" width="12.140625" style="64" customWidth="1"/>
    <col min="14314" max="14314" width="0" style="64" hidden="1" customWidth="1"/>
    <col min="14315" max="14315" width="11.28515625" style="64" customWidth="1"/>
    <col min="14316" max="14316" width="11.140625" style="64" customWidth="1"/>
    <col min="14317" max="14318" width="0" style="64" hidden="1" customWidth="1"/>
    <col min="14319" max="14319" width="8.85546875" style="64" bestFit="1" customWidth="1"/>
    <col min="14320" max="14557" width="11.42578125" style="64"/>
    <col min="14558" max="14558" width="5.28515625" style="64" customWidth="1"/>
    <col min="14559" max="14559" width="25.42578125" style="64" customWidth="1"/>
    <col min="14560" max="14560" width="13" style="64" customWidth="1"/>
    <col min="14561" max="14561" width="9.5703125" style="64" customWidth="1"/>
    <col min="14562" max="14562" width="12" style="64" customWidth="1"/>
    <col min="14563" max="14563" width="12.28515625" style="64" customWidth="1"/>
    <col min="14564" max="14564" width="11.28515625" style="64" customWidth="1"/>
    <col min="14565" max="14565" width="10.85546875" style="64" customWidth="1"/>
    <col min="14566" max="14566" width="11.5703125" style="64" customWidth="1"/>
    <col min="14567" max="14567" width="12.5703125" style="64" customWidth="1"/>
    <col min="14568" max="14568" width="12.28515625" style="64" customWidth="1"/>
    <col min="14569" max="14569" width="12.140625" style="64" customWidth="1"/>
    <col min="14570" max="14570" width="0" style="64" hidden="1" customWidth="1"/>
    <col min="14571" max="14571" width="11.28515625" style="64" customWidth="1"/>
    <col min="14572" max="14572" width="11.140625" style="64" customWidth="1"/>
    <col min="14573" max="14574" width="0" style="64" hidden="1" customWidth="1"/>
    <col min="14575" max="14575" width="8.85546875" style="64" bestFit="1" customWidth="1"/>
    <col min="14576" max="14813" width="11.42578125" style="64"/>
    <col min="14814" max="14814" width="5.28515625" style="64" customWidth="1"/>
    <col min="14815" max="14815" width="25.42578125" style="64" customWidth="1"/>
    <col min="14816" max="14816" width="13" style="64" customWidth="1"/>
    <col min="14817" max="14817" width="9.5703125" style="64" customWidth="1"/>
    <col min="14818" max="14818" width="12" style="64" customWidth="1"/>
    <col min="14819" max="14819" width="12.28515625" style="64" customWidth="1"/>
    <col min="14820" max="14820" width="11.28515625" style="64" customWidth="1"/>
    <col min="14821" max="14821" width="10.85546875" style="64" customWidth="1"/>
    <col min="14822" max="14822" width="11.5703125" style="64" customWidth="1"/>
    <col min="14823" max="14823" width="12.5703125" style="64" customWidth="1"/>
    <col min="14824" max="14824" width="12.28515625" style="64" customWidth="1"/>
    <col min="14825" max="14825" width="12.140625" style="64" customWidth="1"/>
    <col min="14826" max="14826" width="0" style="64" hidden="1" customWidth="1"/>
    <col min="14827" max="14827" width="11.28515625" style="64" customWidth="1"/>
    <col min="14828" max="14828" width="11.140625" style="64" customWidth="1"/>
    <col min="14829" max="14830" width="0" style="64" hidden="1" customWidth="1"/>
    <col min="14831" max="14831" width="8.85546875" style="64" bestFit="1" customWidth="1"/>
    <col min="14832" max="15069" width="11.42578125" style="64"/>
    <col min="15070" max="15070" width="5.28515625" style="64" customWidth="1"/>
    <col min="15071" max="15071" width="25.42578125" style="64" customWidth="1"/>
    <col min="15072" max="15072" width="13" style="64" customWidth="1"/>
    <col min="15073" max="15073" width="9.5703125" style="64" customWidth="1"/>
    <col min="15074" max="15074" width="12" style="64" customWidth="1"/>
    <col min="15075" max="15075" width="12.28515625" style="64" customWidth="1"/>
    <col min="15076" max="15076" width="11.28515625" style="64" customWidth="1"/>
    <col min="15077" max="15077" width="10.85546875" style="64" customWidth="1"/>
    <col min="15078" max="15078" width="11.5703125" style="64" customWidth="1"/>
    <col min="15079" max="15079" width="12.5703125" style="64" customWidth="1"/>
    <col min="15080" max="15080" width="12.28515625" style="64" customWidth="1"/>
    <col min="15081" max="15081" width="12.140625" style="64" customWidth="1"/>
    <col min="15082" max="15082" width="0" style="64" hidden="1" customWidth="1"/>
    <col min="15083" max="15083" width="11.28515625" style="64" customWidth="1"/>
    <col min="15084" max="15084" width="11.140625" style="64" customWidth="1"/>
    <col min="15085" max="15086" width="0" style="64" hidden="1" customWidth="1"/>
    <col min="15087" max="15087" width="8.85546875" style="64" bestFit="1" customWidth="1"/>
    <col min="15088" max="15325" width="11.42578125" style="64"/>
    <col min="15326" max="15326" width="5.28515625" style="64" customWidth="1"/>
    <col min="15327" max="15327" width="25.42578125" style="64" customWidth="1"/>
    <col min="15328" max="15328" width="13" style="64" customWidth="1"/>
    <col min="15329" max="15329" width="9.5703125" style="64" customWidth="1"/>
    <col min="15330" max="15330" width="12" style="64" customWidth="1"/>
    <col min="15331" max="15331" width="12.28515625" style="64" customWidth="1"/>
    <col min="15332" max="15332" width="11.28515625" style="64" customWidth="1"/>
    <col min="15333" max="15333" width="10.85546875" style="64" customWidth="1"/>
    <col min="15334" max="15334" width="11.5703125" style="64" customWidth="1"/>
    <col min="15335" max="15335" width="12.5703125" style="64" customWidth="1"/>
    <col min="15336" max="15336" width="12.28515625" style="64" customWidth="1"/>
    <col min="15337" max="15337" width="12.140625" style="64" customWidth="1"/>
    <col min="15338" max="15338" width="0" style="64" hidden="1" customWidth="1"/>
    <col min="15339" max="15339" width="11.28515625" style="64" customWidth="1"/>
    <col min="15340" max="15340" width="11.140625" style="64" customWidth="1"/>
    <col min="15341" max="15342" width="0" style="64" hidden="1" customWidth="1"/>
    <col min="15343" max="15343" width="8.85546875" style="64" bestFit="1" customWidth="1"/>
    <col min="15344" max="15581" width="11.42578125" style="64"/>
    <col min="15582" max="15582" width="5.28515625" style="64" customWidth="1"/>
    <col min="15583" max="15583" width="25.42578125" style="64" customWidth="1"/>
    <col min="15584" max="15584" width="13" style="64" customWidth="1"/>
    <col min="15585" max="15585" width="9.5703125" style="64" customWidth="1"/>
    <col min="15586" max="15586" width="12" style="64" customWidth="1"/>
    <col min="15587" max="15587" width="12.28515625" style="64" customWidth="1"/>
    <col min="15588" max="15588" width="11.28515625" style="64" customWidth="1"/>
    <col min="15589" max="15589" width="10.85546875" style="64" customWidth="1"/>
    <col min="15590" max="15590" width="11.5703125" style="64" customWidth="1"/>
    <col min="15591" max="15591" width="12.5703125" style="64" customWidth="1"/>
    <col min="15592" max="15592" width="12.28515625" style="64" customWidth="1"/>
    <col min="15593" max="15593" width="12.140625" style="64" customWidth="1"/>
    <col min="15594" max="15594" width="0" style="64" hidden="1" customWidth="1"/>
    <col min="15595" max="15595" width="11.28515625" style="64" customWidth="1"/>
    <col min="15596" max="15596" width="11.140625" style="64" customWidth="1"/>
    <col min="15597" max="15598" width="0" style="64" hidden="1" customWidth="1"/>
    <col min="15599" max="15599" width="8.85546875" style="64" bestFit="1" customWidth="1"/>
    <col min="15600" max="15837" width="11.42578125" style="64"/>
    <col min="15838" max="15838" width="5.28515625" style="64" customWidth="1"/>
    <col min="15839" max="15839" width="25.42578125" style="64" customWidth="1"/>
    <col min="15840" max="15840" width="13" style="64" customWidth="1"/>
    <col min="15841" max="15841" width="9.5703125" style="64" customWidth="1"/>
    <col min="15842" max="15842" width="12" style="64" customWidth="1"/>
    <col min="15843" max="15843" width="12.28515625" style="64" customWidth="1"/>
    <col min="15844" max="15844" width="11.28515625" style="64" customWidth="1"/>
    <col min="15845" max="15845" width="10.85546875" style="64" customWidth="1"/>
    <col min="15846" max="15846" width="11.5703125" style="64" customWidth="1"/>
    <col min="15847" max="15847" width="12.5703125" style="64" customWidth="1"/>
    <col min="15848" max="15848" width="12.28515625" style="64" customWidth="1"/>
    <col min="15849" max="15849" width="12.140625" style="64" customWidth="1"/>
    <col min="15850" max="15850" width="0" style="64" hidden="1" customWidth="1"/>
    <col min="15851" max="15851" width="11.28515625" style="64" customWidth="1"/>
    <col min="15852" max="15852" width="11.140625" style="64" customWidth="1"/>
    <col min="15853" max="15854" width="0" style="64" hidden="1" customWidth="1"/>
    <col min="15855" max="15855" width="8.85546875" style="64" bestFit="1" customWidth="1"/>
    <col min="15856" max="16093" width="11.42578125" style="64"/>
    <col min="16094" max="16094" width="5.28515625" style="64" customWidth="1"/>
    <col min="16095" max="16095" width="25.42578125" style="64" customWidth="1"/>
    <col min="16096" max="16096" width="13" style="64" customWidth="1"/>
    <col min="16097" max="16097" width="9.5703125" style="64" customWidth="1"/>
    <col min="16098" max="16098" width="12" style="64" customWidth="1"/>
    <col min="16099" max="16099" width="12.28515625" style="64" customWidth="1"/>
    <col min="16100" max="16100" width="11.28515625" style="64" customWidth="1"/>
    <col min="16101" max="16101" width="10.85546875" style="64" customWidth="1"/>
    <col min="16102" max="16102" width="11.5703125" style="64" customWidth="1"/>
    <col min="16103" max="16103" width="12.5703125" style="64" customWidth="1"/>
    <col min="16104" max="16104" width="12.28515625" style="64" customWidth="1"/>
    <col min="16105" max="16105" width="12.140625" style="64" customWidth="1"/>
    <col min="16106" max="16106" width="0" style="64" hidden="1" customWidth="1"/>
    <col min="16107" max="16107" width="11.28515625" style="64" customWidth="1"/>
    <col min="16108" max="16108" width="11.140625" style="64" customWidth="1"/>
    <col min="16109" max="16110" width="0" style="64" hidden="1" customWidth="1"/>
    <col min="16111" max="16111" width="8.85546875" style="64" bestFit="1" customWidth="1"/>
    <col min="16112" max="16384" width="11.42578125" style="64"/>
  </cols>
  <sheetData>
    <row r="1" spans="1:17" s="62" customFormat="1" ht="29.45" customHeight="1" x14ac:dyDescent="0.25">
      <c r="A1" s="223" t="s">
        <v>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</row>
    <row r="2" spans="1:17" s="62" customFormat="1" ht="21" customHeight="1" x14ac:dyDescent="0.25">
      <c r="A2" s="224" t="s">
        <v>116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</row>
    <row r="3" spans="1:17" s="62" customFormat="1" ht="21" customHeight="1" x14ac:dyDescent="0.25">
      <c r="A3" s="224" t="s">
        <v>22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7" s="62" customForma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7" ht="19.5" customHeight="1" x14ac:dyDescent="0.25">
      <c r="A5" s="225" t="s">
        <v>23</v>
      </c>
      <c r="B5" s="228" t="s">
        <v>24</v>
      </c>
      <c r="C5" s="228" t="s">
        <v>25</v>
      </c>
      <c r="D5" s="231" t="s">
        <v>26</v>
      </c>
      <c r="E5" s="232"/>
      <c r="F5" s="232"/>
      <c r="G5" s="232"/>
      <c r="H5" s="233"/>
      <c r="I5" s="231" t="s">
        <v>70</v>
      </c>
      <c r="J5" s="232"/>
      <c r="K5" s="232"/>
      <c r="L5" s="232"/>
      <c r="M5" s="232"/>
      <c r="N5" s="232"/>
      <c r="O5" s="232"/>
      <c r="P5" s="232"/>
      <c r="Q5" s="233"/>
    </row>
    <row r="6" spans="1:17" ht="20.25" customHeight="1" x14ac:dyDescent="0.25">
      <c r="A6" s="226"/>
      <c r="B6" s="229"/>
      <c r="C6" s="229"/>
      <c r="D6" s="228" t="s">
        <v>71</v>
      </c>
      <c r="E6" s="228" t="s">
        <v>28</v>
      </c>
      <c r="F6" s="228" t="s">
        <v>29</v>
      </c>
      <c r="G6" s="216" t="s">
        <v>30</v>
      </c>
      <c r="H6" s="216"/>
      <c r="I6" s="216" t="s">
        <v>31</v>
      </c>
      <c r="J6" s="216" t="s">
        <v>32</v>
      </c>
      <c r="K6" s="216" t="s">
        <v>33</v>
      </c>
      <c r="L6" s="216" t="s">
        <v>34</v>
      </c>
      <c r="M6" s="228" t="s">
        <v>67</v>
      </c>
      <c r="N6" s="216" t="s">
        <v>113</v>
      </c>
      <c r="O6" s="216" t="s">
        <v>38</v>
      </c>
      <c r="P6" s="216"/>
      <c r="Q6" s="216" t="s">
        <v>39</v>
      </c>
    </row>
    <row r="7" spans="1:17" ht="21.75" customHeight="1" x14ac:dyDescent="0.25">
      <c r="A7" s="227"/>
      <c r="B7" s="230"/>
      <c r="C7" s="230"/>
      <c r="D7" s="230"/>
      <c r="E7" s="230"/>
      <c r="F7" s="230"/>
      <c r="G7" s="82" t="s">
        <v>40</v>
      </c>
      <c r="H7" s="82" t="s">
        <v>0</v>
      </c>
      <c r="I7" s="216"/>
      <c r="J7" s="216"/>
      <c r="K7" s="216"/>
      <c r="L7" s="216"/>
      <c r="M7" s="230"/>
      <c r="N7" s="216"/>
      <c r="O7" s="82" t="s">
        <v>41</v>
      </c>
      <c r="P7" s="82" t="s">
        <v>0</v>
      </c>
      <c r="Q7" s="216"/>
    </row>
    <row r="8" spans="1:17" s="67" customFormat="1" ht="38.25" customHeight="1" x14ac:dyDescent="0.25">
      <c r="A8" s="26">
        <v>1</v>
      </c>
      <c r="B8" s="27" t="s">
        <v>121</v>
      </c>
      <c r="C8" s="65" t="s">
        <v>88</v>
      </c>
      <c r="D8" s="29">
        <v>62</v>
      </c>
      <c r="E8" s="29">
        <v>6</v>
      </c>
      <c r="F8" s="29">
        <v>6</v>
      </c>
      <c r="G8" s="29">
        <f>+'Tula IngrPropios'!G8+'UACh IngrPropios'!G8</f>
        <v>0</v>
      </c>
      <c r="H8" s="29">
        <f>+'Tula IngrPropios'!H8+'UACh IngrPropios'!H8</f>
        <v>0</v>
      </c>
      <c r="I8" s="84">
        <v>135404</v>
      </c>
      <c r="J8" s="29">
        <f>+'Tula IngrPropios'!J8+'UACh IngrPropios'!J8</f>
        <v>0</v>
      </c>
      <c r="K8" s="29">
        <f>+'Tula IngrPropios'!K8+'UACh IngrPropios'!K8</f>
        <v>0</v>
      </c>
      <c r="L8" s="88">
        <f>+I8+J8-K8</f>
        <v>135404</v>
      </c>
      <c r="M8" s="126">
        <v>0</v>
      </c>
      <c r="N8" s="126">
        <v>0</v>
      </c>
      <c r="O8" s="56">
        <f>M8-N8</f>
        <v>0</v>
      </c>
      <c r="P8" s="120">
        <v>0</v>
      </c>
      <c r="Q8" s="30" t="s">
        <v>5</v>
      </c>
    </row>
    <row r="9" spans="1:17" ht="38.25" customHeight="1" x14ac:dyDescent="0.25">
      <c r="A9" s="26">
        <f t="shared" ref="A9:A17" si="0">1+A8</f>
        <v>2</v>
      </c>
      <c r="B9" s="27" t="s">
        <v>48</v>
      </c>
      <c r="C9" s="68" t="s">
        <v>118</v>
      </c>
      <c r="D9" s="29">
        <v>1047</v>
      </c>
      <c r="E9" s="29">
        <v>95</v>
      </c>
      <c r="F9" s="29">
        <v>95</v>
      </c>
      <c r="G9" s="29">
        <f>+'Tula IngrPropios'!G9+'UACh IngrPropios'!G9</f>
        <v>0</v>
      </c>
      <c r="H9" s="29">
        <f>+'Tula IngrPropios'!H9+'UACh IngrPropios'!H9</f>
        <v>0</v>
      </c>
      <c r="I9" s="84">
        <v>1615169</v>
      </c>
      <c r="J9" s="29">
        <f>+'Tula IngrPropios'!J9+'UACh IngrPropios'!J9</f>
        <v>0</v>
      </c>
      <c r="K9" s="29">
        <f>+'Tula IngrPropios'!K9+'UACh IngrPropios'!K9</f>
        <v>0</v>
      </c>
      <c r="L9" s="88">
        <f t="shared" ref="L9:L16" si="1">+I9+J9-K9</f>
        <v>1615169</v>
      </c>
      <c r="M9" s="126">
        <v>66670</v>
      </c>
      <c r="N9" s="126">
        <v>66199</v>
      </c>
      <c r="O9" s="56">
        <f t="shared" ref="O9:O16" si="2">M9-N9</f>
        <v>471</v>
      </c>
      <c r="P9" s="120">
        <f t="shared" ref="P9:P15" si="3">+O9/M9</f>
        <v>7.0646467676616165E-3</v>
      </c>
      <c r="Q9" s="30" t="s">
        <v>7</v>
      </c>
    </row>
    <row r="10" spans="1:17" s="67" customFormat="1" ht="38.25" customHeight="1" x14ac:dyDescent="0.25">
      <c r="A10" s="26">
        <f t="shared" si="0"/>
        <v>3</v>
      </c>
      <c r="B10" s="27" t="s">
        <v>50</v>
      </c>
      <c r="C10" s="65" t="s">
        <v>73</v>
      </c>
      <c r="D10" s="29">
        <v>3</v>
      </c>
      <c r="E10" s="29">
        <v>1</v>
      </c>
      <c r="F10" s="29">
        <v>1</v>
      </c>
      <c r="G10" s="29">
        <f>+'Tula IngrPropios'!G10+'UACh IngrPropios'!G10</f>
        <v>0</v>
      </c>
      <c r="H10" s="29">
        <f>+'Tula IngrPropios'!H10+'UACh IngrPropios'!H10</f>
        <v>0</v>
      </c>
      <c r="I10" s="84">
        <v>207450</v>
      </c>
      <c r="J10" s="29">
        <f>+'Tula IngrPropios'!J10+'UACh IngrPropios'!J10</f>
        <v>0</v>
      </c>
      <c r="K10" s="29">
        <f>+'Tula IngrPropios'!K10+'UACh IngrPropios'!K10</f>
        <v>0</v>
      </c>
      <c r="L10" s="88">
        <f t="shared" si="1"/>
        <v>207450</v>
      </c>
      <c r="M10" s="126">
        <v>0</v>
      </c>
      <c r="N10" s="126">
        <v>0</v>
      </c>
      <c r="O10" s="56">
        <f t="shared" si="2"/>
        <v>0</v>
      </c>
      <c r="P10" s="120">
        <v>0</v>
      </c>
      <c r="Q10" s="30" t="s">
        <v>8</v>
      </c>
    </row>
    <row r="11" spans="1:17" s="67" customFormat="1" ht="38.25" customHeight="1" x14ac:dyDescent="0.25">
      <c r="A11" s="26">
        <f t="shared" si="0"/>
        <v>4</v>
      </c>
      <c r="B11" s="27" t="s">
        <v>55</v>
      </c>
      <c r="C11" s="68" t="s">
        <v>101</v>
      </c>
      <c r="D11" s="29">
        <v>40</v>
      </c>
      <c r="E11" s="29">
        <v>9</v>
      </c>
      <c r="F11" s="29">
        <v>9</v>
      </c>
      <c r="G11" s="29">
        <f>+'Tula IngrPropios'!G11</f>
        <v>0</v>
      </c>
      <c r="H11" s="29">
        <f>+'Tula IngrPropios'!H11</f>
        <v>0</v>
      </c>
      <c r="I11" s="84">
        <v>340429</v>
      </c>
      <c r="J11" s="29">
        <f>+'Tula IngrPropios'!J11</f>
        <v>0</v>
      </c>
      <c r="K11" s="29">
        <f>+'Tula IngrPropios'!K11</f>
        <v>0</v>
      </c>
      <c r="L11" s="88">
        <f t="shared" si="1"/>
        <v>340429</v>
      </c>
      <c r="M11" s="126">
        <v>30942</v>
      </c>
      <c r="N11" s="126">
        <v>21679</v>
      </c>
      <c r="O11" s="56">
        <f t="shared" si="2"/>
        <v>9263</v>
      </c>
      <c r="P11" s="120">
        <f t="shared" si="3"/>
        <v>0.29936655678365975</v>
      </c>
      <c r="Q11" s="30" t="s">
        <v>12</v>
      </c>
    </row>
    <row r="12" spans="1:17" s="67" customFormat="1" ht="38.25" customHeight="1" x14ac:dyDescent="0.25">
      <c r="A12" s="26">
        <f t="shared" si="0"/>
        <v>5</v>
      </c>
      <c r="B12" s="27" t="s">
        <v>122</v>
      </c>
      <c r="C12" s="68" t="s">
        <v>95</v>
      </c>
      <c r="D12" s="29">
        <v>1</v>
      </c>
      <c r="E12" s="86">
        <v>0.25</v>
      </c>
      <c r="F12" s="86">
        <v>0.25</v>
      </c>
      <c r="G12" s="92">
        <f>+'Tula IngrPropios'!G12+'UACh IngrPropios'!G11</f>
        <v>0</v>
      </c>
      <c r="H12" s="92">
        <f>+'Tula IngrPropios'!H12+'UACh IngrPropios'!H11</f>
        <v>0</v>
      </c>
      <c r="I12" s="84">
        <v>98862</v>
      </c>
      <c r="J12" s="92">
        <f>+'Tula IngrPropios'!J12+'UACh IngrPropios'!J11</f>
        <v>0</v>
      </c>
      <c r="K12" s="92">
        <f>+'Tula IngrPropios'!K12+'UACh IngrPropios'!K11</f>
        <v>0</v>
      </c>
      <c r="L12" s="88">
        <f t="shared" si="1"/>
        <v>98862</v>
      </c>
      <c r="M12" s="126">
        <v>73982</v>
      </c>
      <c r="N12" s="126">
        <v>73979</v>
      </c>
      <c r="O12" s="56">
        <f t="shared" si="2"/>
        <v>3</v>
      </c>
      <c r="P12" s="120">
        <f>+O12/M12</f>
        <v>4.0550404152361388E-5</v>
      </c>
      <c r="Q12" s="30" t="s">
        <v>13</v>
      </c>
    </row>
    <row r="13" spans="1:17" ht="38.25" customHeight="1" x14ac:dyDescent="0.25">
      <c r="A13" s="26">
        <f t="shared" si="0"/>
        <v>6</v>
      </c>
      <c r="B13" s="27" t="s">
        <v>77</v>
      </c>
      <c r="C13" s="68" t="s">
        <v>100</v>
      </c>
      <c r="D13" s="29">
        <v>52</v>
      </c>
      <c r="E13" s="29">
        <v>16</v>
      </c>
      <c r="F13" s="29">
        <v>16</v>
      </c>
      <c r="G13" s="29">
        <f>+'Tula IngrPropios'!G13</f>
        <v>0</v>
      </c>
      <c r="H13" s="29">
        <f>+'Tula IngrPropios'!H13</f>
        <v>0</v>
      </c>
      <c r="I13" s="84">
        <v>1627713</v>
      </c>
      <c r="J13" s="29">
        <f>+'Tula IngrPropios'!J13</f>
        <v>0</v>
      </c>
      <c r="K13" s="29">
        <f>+'Tula IngrPropios'!K13</f>
        <v>0</v>
      </c>
      <c r="L13" s="88">
        <f t="shared" si="1"/>
        <v>1627713</v>
      </c>
      <c r="M13" s="126">
        <v>503474</v>
      </c>
      <c r="N13" s="126">
        <v>219719</v>
      </c>
      <c r="O13" s="56">
        <f t="shared" si="2"/>
        <v>283755</v>
      </c>
      <c r="P13" s="120">
        <f t="shared" si="3"/>
        <v>0.56359414786066409</v>
      </c>
      <c r="Q13" s="30" t="s">
        <v>15</v>
      </c>
    </row>
    <row r="14" spans="1:17" s="67" customFormat="1" ht="45.75" customHeight="1" x14ac:dyDescent="0.25">
      <c r="A14" s="26">
        <f t="shared" si="0"/>
        <v>7</v>
      </c>
      <c r="B14" s="27" t="s">
        <v>63</v>
      </c>
      <c r="C14" s="68" t="s">
        <v>93</v>
      </c>
      <c r="D14" s="29">
        <v>24</v>
      </c>
      <c r="E14" s="29">
        <v>3</v>
      </c>
      <c r="F14" s="29">
        <v>3</v>
      </c>
      <c r="G14" s="29">
        <f>+'Tula IngrPropios'!G15+'UACh IngrPropios'!G12</f>
        <v>0</v>
      </c>
      <c r="H14" s="29">
        <f>+'Tula IngrPropios'!H15+'UACh IngrPropios'!H12</f>
        <v>0</v>
      </c>
      <c r="I14" s="84">
        <v>2073337</v>
      </c>
      <c r="J14" s="29">
        <f>+'Tula IngrPropios'!J15+'UACh IngrPropios'!J12</f>
        <v>0</v>
      </c>
      <c r="K14" s="29">
        <f>+'Tula IngrPropios'!K15+'UACh IngrPropios'!K12</f>
        <v>0</v>
      </c>
      <c r="L14" s="88">
        <f t="shared" si="1"/>
        <v>2073337</v>
      </c>
      <c r="M14" s="126">
        <v>49833</v>
      </c>
      <c r="N14" s="126">
        <v>27478</v>
      </c>
      <c r="O14" s="56">
        <f t="shared" si="2"/>
        <v>22355</v>
      </c>
      <c r="P14" s="120">
        <f t="shared" si="3"/>
        <v>0.44859831838340058</v>
      </c>
      <c r="Q14" s="30" t="s">
        <v>18</v>
      </c>
    </row>
    <row r="15" spans="1:17" s="67" customFormat="1" ht="38.25" customHeight="1" x14ac:dyDescent="0.25">
      <c r="A15" s="26">
        <f t="shared" si="0"/>
        <v>8</v>
      </c>
      <c r="B15" s="36" t="s">
        <v>65</v>
      </c>
      <c r="C15" s="29" t="s">
        <v>66</v>
      </c>
      <c r="D15" s="29">
        <f>+'Tula IngrPropios'!D16+'UACh IngrPropios'!D13-1</f>
        <v>1</v>
      </c>
      <c r="E15" s="29">
        <f>+'Tula IngrPropios'!E16+'UACh IngrPropios'!E13</f>
        <v>0.25</v>
      </c>
      <c r="F15" s="29">
        <f>+'Tula IngrPropios'!F16+'UACh IngrPropios'!F13</f>
        <v>0.25</v>
      </c>
      <c r="G15" s="29">
        <f>+'Tula IngrPropios'!G16+'UACh IngrPropios'!G13</f>
        <v>0</v>
      </c>
      <c r="H15" s="29">
        <f>+'Tula IngrPropios'!H16+'UACh IngrPropios'!H13</f>
        <v>0</v>
      </c>
      <c r="I15" s="84">
        <v>4374741</v>
      </c>
      <c r="J15" s="29">
        <f>+'Tula IngrPropios'!J16+'UACh IngrPropios'!J13</f>
        <v>0</v>
      </c>
      <c r="K15" s="29">
        <f>+'Tula IngrPropios'!K16+'UACh IngrPropios'!K13</f>
        <v>0</v>
      </c>
      <c r="L15" s="88">
        <f t="shared" si="1"/>
        <v>4374741</v>
      </c>
      <c r="M15" s="126">
        <v>1075566</v>
      </c>
      <c r="N15" s="126">
        <f>855542-1</f>
        <v>855541</v>
      </c>
      <c r="O15" s="56">
        <f t="shared" si="2"/>
        <v>220025</v>
      </c>
      <c r="P15" s="120">
        <f t="shared" si="3"/>
        <v>0.20456671185217828</v>
      </c>
      <c r="Q15" s="35" t="s">
        <v>19</v>
      </c>
    </row>
    <row r="16" spans="1:17" s="67" customFormat="1" ht="38.25" customHeight="1" x14ac:dyDescent="0.25">
      <c r="A16" s="26">
        <f t="shared" si="0"/>
        <v>9</v>
      </c>
      <c r="B16" s="36" t="s">
        <v>123</v>
      </c>
      <c r="C16" s="29" t="s">
        <v>102</v>
      </c>
      <c r="D16" s="29">
        <v>2</v>
      </c>
      <c r="E16" s="86">
        <v>0.5</v>
      </c>
      <c r="F16" s="86">
        <v>0.5</v>
      </c>
      <c r="G16" s="29">
        <f>+'Tula IngrPropios'!G17+'UACh IngrPropios'!G17</f>
        <v>0</v>
      </c>
      <c r="H16" s="29">
        <v>0</v>
      </c>
      <c r="I16" s="84">
        <v>1006968</v>
      </c>
      <c r="J16" s="29">
        <f>+'Tula IngrPropios'!J17+'UACh IngrPropios'!J17</f>
        <v>0</v>
      </c>
      <c r="K16" s="29">
        <f>+'Tula IngrPropios'!K17+'UACh IngrPropios'!K17</f>
        <v>0</v>
      </c>
      <c r="L16" s="88">
        <f t="shared" si="1"/>
        <v>1006968</v>
      </c>
      <c r="M16" s="126">
        <v>180192</v>
      </c>
      <c r="N16" s="127">
        <v>179914</v>
      </c>
      <c r="O16" s="56">
        <f t="shared" si="2"/>
        <v>278</v>
      </c>
      <c r="P16" s="120">
        <v>0</v>
      </c>
      <c r="Q16" s="30" t="s">
        <v>20</v>
      </c>
    </row>
    <row r="17" spans="1:17" s="67" customFormat="1" ht="38.25" customHeight="1" x14ac:dyDescent="0.25">
      <c r="A17" s="26">
        <f t="shared" si="0"/>
        <v>10</v>
      </c>
      <c r="B17" s="36" t="s">
        <v>124</v>
      </c>
      <c r="C17" s="29" t="s">
        <v>103</v>
      </c>
      <c r="D17" s="29">
        <f>+'Tula IngrPropios'!D18</f>
        <v>1</v>
      </c>
      <c r="E17" s="29">
        <v>0</v>
      </c>
      <c r="F17" s="29">
        <v>0</v>
      </c>
      <c r="G17" s="29">
        <f>+'Tula IngrPropios'!G18+'UACh IngrPropios'!G18</f>
        <v>0</v>
      </c>
      <c r="H17" s="29">
        <f>+'Tula IngrPropios'!H18+'UACh IngrPropios'!H18</f>
        <v>0</v>
      </c>
      <c r="I17" s="84">
        <v>80000</v>
      </c>
      <c r="J17" s="29">
        <f>+'Tula IngrPropios'!J18+'UACh IngrPropios'!J18</f>
        <v>0</v>
      </c>
      <c r="K17" s="29">
        <f>+'Tula IngrPropios'!K18+'UACh IngrPropios'!K18</f>
        <v>0</v>
      </c>
      <c r="L17" s="88">
        <f>+I17+J17-K17</f>
        <v>80000</v>
      </c>
      <c r="M17" s="126">
        <v>0</v>
      </c>
      <c r="N17" s="127">
        <v>0</v>
      </c>
      <c r="O17" s="56">
        <f>M17-N17</f>
        <v>0</v>
      </c>
      <c r="P17" s="120">
        <v>0</v>
      </c>
      <c r="Q17" s="30" t="s">
        <v>21</v>
      </c>
    </row>
    <row r="18" spans="1:17" ht="38.25" customHeight="1" x14ac:dyDescent="0.25">
      <c r="A18" s="241" t="s">
        <v>1</v>
      </c>
      <c r="B18" s="242"/>
      <c r="C18" s="243"/>
      <c r="D18" s="99">
        <f>SUM(D8:D17)</f>
        <v>1233</v>
      </c>
      <c r="E18" s="100">
        <f>SUM(E8:E17)</f>
        <v>131</v>
      </c>
      <c r="F18" s="100">
        <f t="shared" ref="F18:O18" si="4">SUM(F8:F17)</f>
        <v>131</v>
      </c>
      <c r="G18" s="99">
        <f t="shared" si="4"/>
        <v>0</v>
      </c>
      <c r="H18" s="99">
        <f t="shared" si="4"/>
        <v>0</v>
      </c>
      <c r="I18" s="101">
        <f t="shared" si="4"/>
        <v>11560073</v>
      </c>
      <c r="J18" s="99">
        <f t="shared" si="4"/>
        <v>0</v>
      </c>
      <c r="K18" s="99">
        <f t="shared" si="4"/>
        <v>0</v>
      </c>
      <c r="L18" s="101">
        <f t="shared" si="4"/>
        <v>11560073</v>
      </c>
      <c r="M18" s="101">
        <f t="shared" si="4"/>
        <v>1980659</v>
      </c>
      <c r="N18" s="101">
        <f t="shared" si="4"/>
        <v>1444509</v>
      </c>
      <c r="O18" s="101">
        <f t="shared" si="4"/>
        <v>536150</v>
      </c>
      <c r="P18" s="119">
        <f>+O18/M18</f>
        <v>0.27069273408496869</v>
      </c>
      <c r="Q18" s="44"/>
    </row>
    <row r="20" spans="1:17" ht="20.25" customHeight="1" x14ac:dyDescent="0.25"/>
    <row r="21" spans="1:17" ht="9" customHeight="1" x14ac:dyDescent="0.25">
      <c r="Q21" s="71"/>
    </row>
    <row r="22" spans="1:17" s="107" customFormat="1" ht="15" x14ac:dyDescent="0.25"/>
    <row r="23" spans="1:17" s="107" customFormat="1" ht="15" x14ac:dyDescent="0.25"/>
    <row r="24" spans="1:17" s="107" customFormat="1" ht="15" x14ac:dyDescent="0.25"/>
    <row r="25" spans="1:17" s="107" customFormat="1" ht="15" x14ac:dyDescent="0.25"/>
    <row r="26" spans="1:17" s="107" customFormat="1" ht="15" x14ac:dyDescent="0.25"/>
    <row r="27" spans="1:17" s="107" customFormat="1" ht="15" x14ac:dyDescent="0.25"/>
    <row r="28" spans="1:17" s="107" customFormat="1" ht="15" x14ac:dyDescent="0.25"/>
    <row r="29" spans="1:17" s="107" customFormat="1" ht="15" x14ac:dyDescent="0.25"/>
    <row r="30" spans="1:17" s="107" customFormat="1" ht="15" x14ac:dyDescent="0.25"/>
  </sheetData>
  <mergeCells count="21">
    <mergeCell ref="A1:P1"/>
    <mergeCell ref="A2:P2"/>
    <mergeCell ref="A3:P3"/>
    <mergeCell ref="A5:A7"/>
    <mergeCell ref="B5:B7"/>
    <mergeCell ref="C5:C7"/>
    <mergeCell ref="D5:H5"/>
    <mergeCell ref="I5:Q5"/>
    <mergeCell ref="D6:D7"/>
    <mergeCell ref="E6:E7"/>
    <mergeCell ref="M6:M7"/>
    <mergeCell ref="N6:N7"/>
    <mergeCell ref="O6:P6"/>
    <mergeCell ref="Q6:Q7"/>
    <mergeCell ref="K6:K7"/>
    <mergeCell ref="L6:L7"/>
    <mergeCell ref="A18:C18"/>
    <mergeCell ref="F6:F7"/>
    <mergeCell ref="G6:H6"/>
    <mergeCell ref="I6:I7"/>
    <mergeCell ref="J6:J7"/>
  </mergeCells>
  <printOptions horizontalCentered="1"/>
  <pageMargins left="0.78740157480314965" right="0" top="0.78740157480314965" bottom="0.23622047244094491" header="0.19685039370078741" footer="0.15748031496062992"/>
  <pageSetup scale="6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4"/>
  <sheetViews>
    <sheetView tabSelected="1" topLeftCell="A22" zoomScale="90" zoomScaleNormal="90" workbookViewId="0">
      <selection activeCell="A33" sqref="A33:V33"/>
    </sheetView>
  </sheetViews>
  <sheetFormatPr baseColWidth="10" defaultRowHeight="12.75" x14ac:dyDescent="0.2"/>
  <cols>
    <col min="1" max="1" width="5.85546875" style="4" customWidth="1"/>
    <col min="2" max="2" width="44.7109375" style="21" customWidth="1"/>
    <col min="3" max="3" width="16.28515625" style="3" customWidth="1"/>
    <col min="4" max="4" width="10.28515625" style="3" customWidth="1"/>
    <col min="5" max="5" width="12.28515625" style="3" customWidth="1"/>
    <col min="6" max="6" width="11" style="3" customWidth="1"/>
    <col min="7" max="7" width="12.7109375" style="3" customWidth="1"/>
    <col min="8" max="8" width="8.5703125" style="3" hidden="1" customWidth="1"/>
    <col min="9" max="9" width="7.28515625" style="3" hidden="1" customWidth="1"/>
    <col min="10" max="10" width="7.5703125" style="3" hidden="1" customWidth="1"/>
    <col min="11" max="11" width="7.140625" style="3" hidden="1" customWidth="1"/>
    <col min="12" max="12" width="14.5703125" style="3" customWidth="1"/>
    <col min="13" max="13" width="8.28515625" style="3" hidden="1" customWidth="1"/>
    <col min="14" max="14" width="8.140625" style="3" hidden="1" customWidth="1"/>
    <col min="15" max="15" width="7.5703125" style="3" hidden="1" customWidth="1"/>
    <col min="16" max="16" width="7.140625" style="3" hidden="1" customWidth="1"/>
    <col min="17" max="17" width="12" style="3" customWidth="1"/>
    <col min="18" max="18" width="9.7109375" style="3" customWidth="1"/>
    <col min="19" max="19" width="8" style="3" bestFit="1" customWidth="1"/>
    <col min="20" max="20" width="12.5703125" style="3" customWidth="1"/>
    <col min="21" max="21" width="12.28515625" style="51" customWidth="1"/>
    <col min="22" max="16384" width="11.42578125" style="3"/>
  </cols>
  <sheetData>
    <row r="1" spans="1:22" ht="11.25" x14ac:dyDescent="0.2">
      <c r="U1" s="3"/>
    </row>
    <row r="2" spans="1:22" ht="24.75" customHeight="1" x14ac:dyDescent="0.25">
      <c r="A2" s="209" t="s">
        <v>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</row>
    <row r="3" spans="1:22" ht="24.75" customHeight="1" x14ac:dyDescent="0.25">
      <c r="A3" s="248" t="s">
        <v>189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</row>
    <row r="4" spans="1:22" ht="15" x14ac:dyDescent="0.25">
      <c r="A4" s="249" t="s">
        <v>190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</row>
    <row r="5" spans="1:22" ht="11.25" customHeight="1" x14ac:dyDescent="0.2">
      <c r="B5" s="5"/>
      <c r="S5" s="6"/>
      <c r="T5" s="6"/>
      <c r="U5" s="6"/>
    </row>
    <row r="6" spans="1:22" s="64" customFormat="1" ht="13.5" customHeight="1" x14ac:dyDescent="0.25">
      <c r="A6" s="225" t="s">
        <v>23</v>
      </c>
      <c r="B6" s="228" t="s">
        <v>24</v>
      </c>
      <c r="C6" s="228" t="s">
        <v>25</v>
      </c>
      <c r="D6" s="252" t="s">
        <v>26</v>
      </c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4"/>
      <c r="T6" s="258" t="s">
        <v>107</v>
      </c>
      <c r="U6" s="259"/>
      <c r="V6" s="228" t="s">
        <v>39</v>
      </c>
    </row>
    <row r="7" spans="1:22" s="64" customFormat="1" ht="13.5" customHeight="1" x14ac:dyDescent="0.25">
      <c r="A7" s="226"/>
      <c r="B7" s="229"/>
      <c r="C7" s="229"/>
      <c r="D7" s="255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7"/>
      <c r="T7" s="260"/>
      <c r="U7" s="261"/>
      <c r="V7" s="229"/>
    </row>
    <row r="8" spans="1:22" s="64" customFormat="1" ht="18" customHeight="1" x14ac:dyDescent="0.25">
      <c r="A8" s="226"/>
      <c r="B8" s="229"/>
      <c r="C8" s="229"/>
      <c r="D8" s="228" t="s">
        <v>169</v>
      </c>
      <c r="E8" s="228" t="s">
        <v>32</v>
      </c>
      <c r="F8" s="228" t="s">
        <v>33</v>
      </c>
      <c r="G8" s="228" t="s">
        <v>187</v>
      </c>
      <c r="H8" s="245" t="s">
        <v>166</v>
      </c>
      <c r="I8" s="246"/>
      <c r="J8" s="246"/>
      <c r="K8" s="247"/>
      <c r="L8" s="228" t="s">
        <v>161</v>
      </c>
      <c r="M8" s="265" t="s">
        <v>29</v>
      </c>
      <c r="N8" s="266"/>
      <c r="O8" s="266"/>
      <c r="P8" s="267"/>
      <c r="Q8" s="228" t="s">
        <v>162</v>
      </c>
      <c r="R8" s="216" t="s">
        <v>30</v>
      </c>
      <c r="S8" s="216"/>
      <c r="T8" s="262" t="s">
        <v>206</v>
      </c>
      <c r="U8" s="263" t="s">
        <v>158</v>
      </c>
      <c r="V8" s="229"/>
    </row>
    <row r="9" spans="1:22" s="64" customFormat="1" ht="20.25" customHeight="1" x14ac:dyDescent="0.25">
      <c r="A9" s="227"/>
      <c r="B9" s="229"/>
      <c r="C9" s="230"/>
      <c r="D9" s="230"/>
      <c r="E9" s="230"/>
      <c r="F9" s="230"/>
      <c r="G9" s="230"/>
      <c r="H9" s="201" t="s">
        <v>167</v>
      </c>
      <c r="I9" s="201" t="s">
        <v>168</v>
      </c>
      <c r="J9" s="201" t="s">
        <v>163</v>
      </c>
      <c r="K9" s="201" t="s">
        <v>164</v>
      </c>
      <c r="L9" s="230"/>
      <c r="M9" s="191" t="s">
        <v>159</v>
      </c>
      <c r="N9" s="191" t="s">
        <v>160</v>
      </c>
      <c r="O9" s="191" t="s">
        <v>163</v>
      </c>
      <c r="P9" s="191" t="s">
        <v>164</v>
      </c>
      <c r="Q9" s="230"/>
      <c r="R9" s="158" t="s">
        <v>40</v>
      </c>
      <c r="S9" s="158" t="s">
        <v>0</v>
      </c>
      <c r="T9" s="260"/>
      <c r="U9" s="264"/>
      <c r="V9" s="230"/>
    </row>
    <row r="10" spans="1:22" s="71" customFormat="1" ht="30" customHeight="1" x14ac:dyDescent="0.25">
      <c r="A10" s="193">
        <v>1</v>
      </c>
      <c r="B10" s="196" t="s">
        <v>175</v>
      </c>
      <c r="C10" s="194" t="s">
        <v>191</v>
      </c>
      <c r="D10" s="189">
        <v>98</v>
      </c>
      <c r="E10" s="189"/>
      <c r="F10" s="189">
        <v>1</v>
      </c>
      <c r="G10" s="204">
        <f>D10+E10-F10</f>
        <v>97</v>
      </c>
      <c r="H10" s="198">
        <v>32</v>
      </c>
      <c r="I10" s="205">
        <f>32-1</f>
        <v>31</v>
      </c>
      <c r="J10" s="198"/>
      <c r="K10" s="198"/>
      <c r="L10" s="188">
        <f>SUM(H10:K10)</f>
        <v>63</v>
      </c>
      <c r="M10" s="202">
        <v>32</v>
      </c>
      <c r="N10" s="202">
        <v>31</v>
      </c>
      <c r="O10" s="202"/>
      <c r="P10" s="202"/>
      <c r="Q10" s="188">
        <f>SUM(M10:P10)</f>
        <v>63</v>
      </c>
      <c r="R10" s="189">
        <f>Q10-L10</f>
        <v>0</v>
      </c>
      <c r="S10" s="192">
        <f>(Q10/L10)-1</f>
        <v>0</v>
      </c>
      <c r="T10" s="9">
        <v>278554.39</v>
      </c>
      <c r="U10" s="9">
        <f>59268.19</f>
        <v>59268.19</v>
      </c>
      <c r="V10" s="29" t="s">
        <v>3</v>
      </c>
    </row>
    <row r="11" spans="1:22" s="13" customFormat="1" ht="27.75" customHeight="1" x14ac:dyDescent="0.25">
      <c r="A11" s="193">
        <v>2</v>
      </c>
      <c r="B11" s="196" t="s">
        <v>174</v>
      </c>
      <c r="C11" s="194" t="s">
        <v>184</v>
      </c>
      <c r="D11" s="189">
        <v>1</v>
      </c>
      <c r="E11" s="189"/>
      <c r="F11" s="189"/>
      <c r="G11" s="204">
        <f t="shared" ref="G11:G29" si="0">D11+E11-F11</f>
        <v>1</v>
      </c>
      <c r="H11" s="198">
        <v>0</v>
      </c>
      <c r="I11" s="206">
        <v>0</v>
      </c>
      <c r="J11" s="198"/>
      <c r="K11" s="198"/>
      <c r="L11" s="188">
        <f t="shared" ref="L11:L29" si="1">SUM(H11:K11)</f>
        <v>0</v>
      </c>
      <c r="M11" s="202">
        <v>0</v>
      </c>
      <c r="N11" s="202">
        <v>0</v>
      </c>
      <c r="O11" s="202"/>
      <c r="P11" s="202"/>
      <c r="Q11" s="188">
        <f>SUM(M11:P11)</f>
        <v>0</v>
      </c>
      <c r="R11" s="189">
        <f t="shared" ref="R11:R29" si="2">Q11-L11</f>
        <v>0</v>
      </c>
      <c r="S11" s="192">
        <v>0</v>
      </c>
      <c r="T11" s="9">
        <v>114101.09</v>
      </c>
      <c r="U11" s="9">
        <v>5750.9</v>
      </c>
      <c r="V11" s="29" t="s">
        <v>4</v>
      </c>
    </row>
    <row r="12" spans="1:22" s="13" customFormat="1" ht="27.75" customHeight="1" x14ac:dyDescent="0.25">
      <c r="A12" s="193">
        <v>3</v>
      </c>
      <c r="B12" s="196" t="s">
        <v>170</v>
      </c>
      <c r="C12" s="194" t="s">
        <v>46</v>
      </c>
      <c r="D12" s="189">
        <v>3</v>
      </c>
      <c r="E12" s="189"/>
      <c r="F12" s="189"/>
      <c r="G12" s="204">
        <f t="shared" si="0"/>
        <v>3</v>
      </c>
      <c r="H12" s="198">
        <v>0</v>
      </c>
      <c r="I12" s="198">
        <v>1</v>
      </c>
      <c r="J12" s="198"/>
      <c r="K12" s="198"/>
      <c r="L12" s="188">
        <f t="shared" si="1"/>
        <v>1</v>
      </c>
      <c r="M12" s="202">
        <v>0</v>
      </c>
      <c r="N12" s="202">
        <v>1</v>
      </c>
      <c r="O12" s="202"/>
      <c r="P12" s="202"/>
      <c r="Q12" s="188">
        <f>SUM(M12:P12)</f>
        <v>1</v>
      </c>
      <c r="R12" s="189">
        <f t="shared" si="2"/>
        <v>0</v>
      </c>
      <c r="S12" s="192">
        <v>0</v>
      </c>
      <c r="T12" s="9">
        <v>263210.33999999997</v>
      </c>
      <c r="U12" s="9">
        <f>18276.17</f>
        <v>18276.169999999998</v>
      </c>
      <c r="V12" s="29" t="s">
        <v>5</v>
      </c>
    </row>
    <row r="13" spans="1:22" s="13" customFormat="1" ht="27.75" customHeight="1" x14ac:dyDescent="0.25">
      <c r="A13" s="193">
        <v>4</v>
      </c>
      <c r="B13" s="196" t="s">
        <v>197</v>
      </c>
      <c r="C13" s="194" t="s">
        <v>192</v>
      </c>
      <c r="D13" s="189">
        <v>8</v>
      </c>
      <c r="E13" s="189">
        <v>3</v>
      </c>
      <c r="F13" s="189"/>
      <c r="G13" s="204">
        <f t="shared" si="0"/>
        <v>11</v>
      </c>
      <c r="H13" s="198">
        <v>2</v>
      </c>
      <c r="I13" s="205">
        <v>3</v>
      </c>
      <c r="J13" s="198"/>
      <c r="K13" s="198"/>
      <c r="L13" s="188">
        <f t="shared" si="1"/>
        <v>5</v>
      </c>
      <c r="M13" s="202">
        <v>2</v>
      </c>
      <c r="N13" s="202">
        <v>3</v>
      </c>
      <c r="O13" s="202"/>
      <c r="P13" s="202"/>
      <c r="Q13" s="188">
        <f t="shared" ref="Q13:Q28" si="3">SUM(M13:P13)</f>
        <v>5</v>
      </c>
      <c r="R13" s="189">
        <f t="shared" si="2"/>
        <v>0</v>
      </c>
      <c r="S13" s="192">
        <v>0</v>
      </c>
      <c r="T13" s="9">
        <v>136529.40999999997</v>
      </c>
      <c r="U13" s="9">
        <v>41364.03</v>
      </c>
      <c r="V13" s="29" t="s">
        <v>6</v>
      </c>
    </row>
    <row r="14" spans="1:22" s="13" customFormat="1" ht="27.75" customHeight="1" x14ac:dyDescent="0.25">
      <c r="A14" s="193">
        <v>5</v>
      </c>
      <c r="B14" s="196" t="s">
        <v>198</v>
      </c>
      <c r="C14" s="194" t="s">
        <v>49</v>
      </c>
      <c r="D14" s="149">
        <v>4400</v>
      </c>
      <c r="E14" s="149"/>
      <c r="F14" s="149"/>
      <c r="G14" s="204">
        <f t="shared" si="0"/>
        <v>4400</v>
      </c>
      <c r="H14" s="199">
        <v>4046</v>
      </c>
      <c r="I14" s="207">
        <v>3134</v>
      </c>
      <c r="J14" s="199"/>
      <c r="K14" s="199"/>
      <c r="L14" s="134">
        <f>I14</f>
        <v>3134</v>
      </c>
      <c r="M14" s="203">
        <v>4046</v>
      </c>
      <c r="N14" s="203">
        <v>3134</v>
      </c>
      <c r="O14" s="203"/>
      <c r="P14" s="203"/>
      <c r="Q14" s="134">
        <f>N14</f>
        <v>3134</v>
      </c>
      <c r="R14" s="149">
        <f>Q14-L14</f>
        <v>0</v>
      </c>
      <c r="S14" s="192">
        <f t="shared" ref="S14:S28" si="4">(Q14/L14)-1</f>
        <v>0</v>
      </c>
      <c r="T14" s="9">
        <v>6251069.5399999991</v>
      </c>
      <c r="U14" s="9">
        <f>697634.29+437383.61</f>
        <v>1135017.8999999999</v>
      </c>
      <c r="V14" s="29" t="s">
        <v>7</v>
      </c>
    </row>
    <row r="15" spans="1:22" s="13" customFormat="1" ht="36" x14ac:dyDescent="0.25">
      <c r="A15" s="193">
        <v>6</v>
      </c>
      <c r="B15" s="196" t="s">
        <v>171</v>
      </c>
      <c r="C15" s="194" t="s">
        <v>51</v>
      </c>
      <c r="D15" s="149">
        <v>1290</v>
      </c>
      <c r="E15" s="149">
        <f>540-410</f>
        <v>130</v>
      </c>
      <c r="F15" s="149"/>
      <c r="G15" s="204">
        <f t="shared" si="0"/>
        <v>1420</v>
      </c>
      <c r="H15" s="199">
        <v>360</v>
      </c>
      <c r="I15" s="208">
        <v>540</v>
      </c>
      <c r="J15" s="199"/>
      <c r="K15" s="199"/>
      <c r="L15" s="188">
        <f t="shared" si="1"/>
        <v>900</v>
      </c>
      <c r="M15" s="202">
        <v>360</v>
      </c>
      <c r="N15" s="202">
        <v>540</v>
      </c>
      <c r="O15" s="202"/>
      <c r="P15" s="202"/>
      <c r="Q15" s="188">
        <f>SUM(M15:P15)</f>
        <v>900</v>
      </c>
      <c r="R15" s="189">
        <f t="shared" si="2"/>
        <v>0</v>
      </c>
      <c r="S15" s="192">
        <f t="shared" si="4"/>
        <v>0</v>
      </c>
      <c r="T15" s="9">
        <v>519105.32999999996</v>
      </c>
      <c r="U15" s="9">
        <v>9287.91</v>
      </c>
      <c r="V15" s="29" t="s">
        <v>8</v>
      </c>
    </row>
    <row r="16" spans="1:22" s="13" customFormat="1" ht="36" x14ac:dyDescent="0.25">
      <c r="A16" s="193">
        <v>7</v>
      </c>
      <c r="B16" s="196" t="s">
        <v>172</v>
      </c>
      <c r="C16" s="194" t="s">
        <v>199</v>
      </c>
      <c r="D16" s="149">
        <v>15000</v>
      </c>
      <c r="E16" s="149">
        <f>5154-5000</f>
        <v>154</v>
      </c>
      <c r="F16" s="149"/>
      <c r="G16" s="204">
        <f t="shared" si="0"/>
        <v>15154</v>
      </c>
      <c r="H16" s="199">
        <v>5650</v>
      </c>
      <c r="I16" s="208">
        <v>5154</v>
      </c>
      <c r="J16" s="199"/>
      <c r="K16" s="199"/>
      <c r="L16" s="188">
        <f t="shared" si="1"/>
        <v>10804</v>
      </c>
      <c r="M16" s="203">
        <v>5650</v>
      </c>
      <c r="N16" s="203">
        <v>5154</v>
      </c>
      <c r="O16" s="203"/>
      <c r="P16" s="203"/>
      <c r="Q16" s="188">
        <f t="shared" si="3"/>
        <v>10804</v>
      </c>
      <c r="R16" s="189">
        <f t="shared" si="2"/>
        <v>0</v>
      </c>
      <c r="S16" s="192">
        <f t="shared" si="4"/>
        <v>0</v>
      </c>
      <c r="T16" s="9">
        <v>231677.71999999997</v>
      </c>
      <c r="U16" s="9">
        <v>18491.14</v>
      </c>
      <c r="V16" s="29" t="s">
        <v>9</v>
      </c>
    </row>
    <row r="17" spans="1:22" s="13" customFormat="1" ht="24" x14ac:dyDescent="0.25">
      <c r="A17" s="193">
        <v>8</v>
      </c>
      <c r="B17" s="196" t="s">
        <v>173</v>
      </c>
      <c r="C17" s="194" t="s">
        <v>193</v>
      </c>
      <c r="D17" s="189">
        <v>40</v>
      </c>
      <c r="E17" s="189"/>
      <c r="F17" s="189"/>
      <c r="G17" s="204">
        <f t="shared" si="0"/>
        <v>40</v>
      </c>
      <c r="H17" s="198">
        <v>11</v>
      </c>
      <c r="I17" s="198">
        <v>8</v>
      </c>
      <c r="J17" s="198"/>
      <c r="K17" s="198"/>
      <c r="L17" s="188">
        <f t="shared" si="1"/>
        <v>19</v>
      </c>
      <c r="M17" s="202">
        <v>11</v>
      </c>
      <c r="N17" s="202">
        <v>8</v>
      </c>
      <c r="O17" s="202"/>
      <c r="P17" s="202"/>
      <c r="Q17" s="188">
        <f t="shared" si="3"/>
        <v>19</v>
      </c>
      <c r="R17" s="189">
        <f t="shared" si="2"/>
        <v>0</v>
      </c>
      <c r="S17" s="192">
        <f t="shared" si="4"/>
        <v>0</v>
      </c>
      <c r="T17" s="9">
        <v>553025.89</v>
      </c>
      <c r="U17" s="9">
        <f>12503.9+133358.8</f>
        <v>145862.69999999998</v>
      </c>
      <c r="V17" s="29" t="s">
        <v>10</v>
      </c>
    </row>
    <row r="18" spans="1:22" s="13" customFormat="1" ht="41.25" customHeight="1" x14ac:dyDescent="0.25">
      <c r="A18" s="193">
        <v>9</v>
      </c>
      <c r="B18" s="196" t="s">
        <v>176</v>
      </c>
      <c r="C18" s="194" t="s">
        <v>200</v>
      </c>
      <c r="D18" s="189">
        <v>24</v>
      </c>
      <c r="E18" s="189"/>
      <c r="F18" s="189"/>
      <c r="G18" s="204">
        <f t="shared" si="0"/>
        <v>24</v>
      </c>
      <c r="H18" s="198">
        <v>0</v>
      </c>
      <c r="I18" s="198">
        <v>8</v>
      </c>
      <c r="J18" s="198"/>
      <c r="K18" s="198"/>
      <c r="L18" s="188">
        <f t="shared" si="1"/>
        <v>8</v>
      </c>
      <c r="M18" s="202">
        <v>0</v>
      </c>
      <c r="N18" s="202">
        <v>8</v>
      </c>
      <c r="O18" s="202"/>
      <c r="P18" s="202"/>
      <c r="Q18" s="188">
        <f t="shared" si="3"/>
        <v>8</v>
      </c>
      <c r="R18" s="189">
        <f t="shared" si="2"/>
        <v>0</v>
      </c>
      <c r="S18" s="192">
        <f t="shared" si="4"/>
        <v>0</v>
      </c>
      <c r="T18" s="9">
        <v>20669.72</v>
      </c>
      <c r="U18" s="9">
        <v>2608.73</v>
      </c>
      <c r="V18" s="29" t="s">
        <v>11</v>
      </c>
    </row>
    <row r="19" spans="1:22" s="13" customFormat="1" ht="27.75" customHeight="1" x14ac:dyDescent="0.25">
      <c r="A19" s="193">
        <v>10</v>
      </c>
      <c r="B19" s="196" t="s">
        <v>177</v>
      </c>
      <c r="C19" s="195" t="s">
        <v>55</v>
      </c>
      <c r="D19" s="189">
        <v>7</v>
      </c>
      <c r="E19" s="189"/>
      <c r="F19" s="189"/>
      <c r="G19" s="204">
        <f t="shared" si="0"/>
        <v>7</v>
      </c>
      <c r="H19" s="198">
        <v>0</v>
      </c>
      <c r="I19" s="206">
        <v>0</v>
      </c>
      <c r="J19" s="198"/>
      <c r="K19" s="198"/>
      <c r="L19" s="188">
        <f t="shared" si="1"/>
        <v>0</v>
      </c>
      <c r="M19" s="202">
        <v>0</v>
      </c>
      <c r="N19" s="202">
        <v>0</v>
      </c>
      <c r="O19" s="202"/>
      <c r="P19" s="202"/>
      <c r="Q19" s="188">
        <f t="shared" si="3"/>
        <v>0</v>
      </c>
      <c r="R19" s="189">
        <f t="shared" si="2"/>
        <v>0</v>
      </c>
      <c r="S19" s="192">
        <v>0</v>
      </c>
      <c r="T19" s="9">
        <v>458861.88</v>
      </c>
      <c r="U19" s="9">
        <f>57259.65+322.56</f>
        <v>57582.21</v>
      </c>
      <c r="V19" s="29" t="s">
        <v>12</v>
      </c>
    </row>
    <row r="20" spans="1:22" ht="27.75" customHeight="1" x14ac:dyDescent="0.2">
      <c r="A20" s="193">
        <v>11</v>
      </c>
      <c r="B20" s="196" t="s">
        <v>185</v>
      </c>
      <c r="C20" s="194" t="s">
        <v>91</v>
      </c>
      <c r="D20" s="189">
        <v>3</v>
      </c>
      <c r="E20" s="189"/>
      <c r="F20" s="189"/>
      <c r="G20" s="204">
        <f t="shared" si="0"/>
        <v>3</v>
      </c>
      <c r="H20" s="198">
        <v>0</v>
      </c>
      <c r="I20" s="198">
        <v>1</v>
      </c>
      <c r="J20" s="198"/>
      <c r="K20" s="198"/>
      <c r="L20" s="188">
        <f t="shared" si="1"/>
        <v>1</v>
      </c>
      <c r="M20" s="202">
        <v>0</v>
      </c>
      <c r="N20" s="202">
        <v>1</v>
      </c>
      <c r="O20" s="202"/>
      <c r="P20" s="202"/>
      <c r="Q20" s="188">
        <f t="shared" si="3"/>
        <v>1</v>
      </c>
      <c r="R20" s="189">
        <f t="shared" si="2"/>
        <v>0</v>
      </c>
      <c r="S20" s="192">
        <f t="shared" si="4"/>
        <v>0</v>
      </c>
      <c r="T20" s="9">
        <v>77810.309999999983</v>
      </c>
      <c r="U20" s="9">
        <v>1836.29</v>
      </c>
      <c r="V20" s="29" t="s">
        <v>13</v>
      </c>
    </row>
    <row r="21" spans="1:22" s="13" customFormat="1" ht="27.75" customHeight="1" x14ac:dyDescent="0.25">
      <c r="A21" s="193">
        <v>12</v>
      </c>
      <c r="B21" s="196" t="s">
        <v>201</v>
      </c>
      <c r="C21" s="195" t="s">
        <v>43</v>
      </c>
      <c r="D21" s="189">
        <v>22</v>
      </c>
      <c r="E21" s="189">
        <f>9-5</f>
        <v>4</v>
      </c>
      <c r="F21" s="189"/>
      <c r="G21" s="204">
        <f t="shared" si="0"/>
        <v>26</v>
      </c>
      <c r="H21" s="198">
        <v>7</v>
      </c>
      <c r="I21" s="205">
        <v>9</v>
      </c>
      <c r="J21" s="198"/>
      <c r="K21" s="198"/>
      <c r="L21" s="188">
        <f t="shared" si="1"/>
        <v>16</v>
      </c>
      <c r="M21" s="202">
        <v>7</v>
      </c>
      <c r="N21" s="202">
        <v>9</v>
      </c>
      <c r="O21" s="202"/>
      <c r="P21" s="202"/>
      <c r="Q21" s="188">
        <f t="shared" si="3"/>
        <v>16</v>
      </c>
      <c r="R21" s="189">
        <f t="shared" si="2"/>
        <v>0</v>
      </c>
      <c r="S21" s="192">
        <f t="shared" si="4"/>
        <v>0</v>
      </c>
      <c r="T21" s="9">
        <v>281916.62999999995</v>
      </c>
      <c r="U21" s="9">
        <v>85197.26</v>
      </c>
      <c r="V21" s="29" t="s">
        <v>14</v>
      </c>
    </row>
    <row r="22" spans="1:22" s="13" customFormat="1" ht="27.75" customHeight="1" x14ac:dyDescent="0.25">
      <c r="A22" s="193">
        <v>13</v>
      </c>
      <c r="B22" s="196" t="s">
        <v>202</v>
      </c>
      <c r="C22" s="194" t="s">
        <v>203</v>
      </c>
      <c r="D22" s="189">
        <v>89</v>
      </c>
      <c r="E22" s="189">
        <f>24-22</f>
        <v>2</v>
      </c>
      <c r="F22" s="189"/>
      <c r="G22" s="204">
        <f t="shared" si="0"/>
        <v>91</v>
      </c>
      <c r="H22" s="198">
        <v>25</v>
      </c>
      <c r="I22" s="205">
        <v>24</v>
      </c>
      <c r="J22" s="198"/>
      <c r="K22" s="198"/>
      <c r="L22" s="188">
        <f t="shared" si="1"/>
        <v>49</v>
      </c>
      <c r="M22" s="202">
        <v>25</v>
      </c>
      <c r="N22" s="202">
        <v>24</v>
      </c>
      <c r="O22" s="202"/>
      <c r="P22" s="202"/>
      <c r="Q22" s="188">
        <f t="shared" si="3"/>
        <v>49</v>
      </c>
      <c r="R22" s="189">
        <f t="shared" si="2"/>
        <v>0</v>
      </c>
      <c r="S22" s="192">
        <f t="shared" si="4"/>
        <v>0</v>
      </c>
      <c r="T22" s="9">
        <v>2035586.13</v>
      </c>
      <c r="U22" s="9">
        <f>692743.65</f>
        <v>692743.65</v>
      </c>
      <c r="V22" s="29" t="s">
        <v>15</v>
      </c>
    </row>
    <row r="23" spans="1:22" s="13" customFormat="1" ht="27.75" customHeight="1" x14ac:dyDescent="0.25">
      <c r="A23" s="193">
        <v>14</v>
      </c>
      <c r="B23" s="196" t="s">
        <v>165</v>
      </c>
      <c r="C23" s="194" t="s">
        <v>204</v>
      </c>
      <c r="D23" s="189">
        <v>102</v>
      </c>
      <c r="E23" s="189"/>
      <c r="F23" s="189"/>
      <c r="G23" s="204">
        <f t="shared" si="0"/>
        <v>102</v>
      </c>
      <c r="H23" s="198">
        <v>25</v>
      </c>
      <c r="I23" s="198">
        <v>26</v>
      </c>
      <c r="J23" s="198"/>
      <c r="K23" s="198"/>
      <c r="L23" s="188">
        <f t="shared" si="1"/>
        <v>51</v>
      </c>
      <c r="M23" s="202">
        <v>25</v>
      </c>
      <c r="N23" s="202">
        <v>26</v>
      </c>
      <c r="O23" s="202"/>
      <c r="P23" s="202"/>
      <c r="Q23" s="188">
        <f t="shared" si="3"/>
        <v>51</v>
      </c>
      <c r="R23" s="189">
        <f t="shared" si="2"/>
        <v>0</v>
      </c>
      <c r="S23" s="192">
        <f t="shared" si="4"/>
        <v>0</v>
      </c>
      <c r="T23" s="9">
        <v>133131.5</v>
      </c>
      <c r="U23" s="9">
        <v>61192.59</v>
      </c>
      <c r="V23" s="29" t="s">
        <v>16</v>
      </c>
    </row>
    <row r="24" spans="1:22" s="13" customFormat="1" ht="48" x14ac:dyDescent="0.25">
      <c r="A24" s="193">
        <v>15</v>
      </c>
      <c r="B24" s="196" t="s">
        <v>178</v>
      </c>
      <c r="C24" s="194" t="s">
        <v>205</v>
      </c>
      <c r="D24" s="189">
        <v>20</v>
      </c>
      <c r="E24" s="189">
        <f>22-4</f>
        <v>18</v>
      </c>
      <c r="F24" s="189"/>
      <c r="G24" s="204">
        <f t="shared" si="0"/>
        <v>38</v>
      </c>
      <c r="H24" s="198">
        <v>0</v>
      </c>
      <c r="I24" s="205">
        <v>22</v>
      </c>
      <c r="J24" s="198"/>
      <c r="K24" s="198"/>
      <c r="L24" s="188">
        <f t="shared" si="1"/>
        <v>22</v>
      </c>
      <c r="M24" s="202">
        <v>0</v>
      </c>
      <c r="N24" s="202">
        <v>22</v>
      </c>
      <c r="O24" s="202"/>
      <c r="P24" s="202"/>
      <c r="Q24" s="188">
        <f t="shared" si="3"/>
        <v>22</v>
      </c>
      <c r="R24" s="189">
        <f t="shared" si="2"/>
        <v>0</v>
      </c>
      <c r="S24" s="192">
        <f t="shared" si="4"/>
        <v>0</v>
      </c>
      <c r="T24" s="9">
        <v>25000</v>
      </c>
      <c r="U24" s="9">
        <v>0</v>
      </c>
      <c r="V24" s="29" t="s">
        <v>17</v>
      </c>
    </row>
    <row r="25" spans="1:22" s="13" customFormat="1" ht="27.75" customHeight="1" x14ac:dyDescent="0.25">
      <c r="A25" s="193">
        <v>16</v>
      </c>
      <c r="B25" s="196" t="s">
        <v>179</v>
      </c>
      <c r="C25" s="194" t="s">
        <v>194</v>
      </c>
      <c r="D25" s="189">
        <v>4</v>
      </c>
      <c r="E25" s="189"/>
      <c r="F25" s="189"/>
      <c r="G25" s="204">
        <f t="shared" si="0"/>
        <v>4</v>
      </c>
      <c r="H25" s="198">
        <v>1</v>
      </c>
      <c r="I25" s="198">
        <v>2</v>
      </c>
      <c r="J25" s="198"/>
      <c r="K25" s="198"/>
      <c r="L25" s="188">
        <f t="shared" si="1"/>
        <v>3</v>
      </c>
      <c r="M25" s="202">
        <v>1</v>
      </c>
      <c r="N25" s="202">
        <v>2</v>
      </c>
      <c r="O25" s="202"/>
      <c r="P25" s="202"/>
      <c r="Q25" s="188">
        <f t="shared" si="3"/>
        <v>3</v>
      </c>
      <c r="R25" s="189">
        <f t="shared" si="2"/>
        <v>0</v>
      </c>
      <c r="S25" s="192">
        <f t="shared" si="4"/>
        <v>0</v>
      </c>
      <c r="T25" s="9">
        <v>117420</v>
      </c>
      <c r="U25" s="9">
        <f>44297.73</f>
        <v>44297.73</v>
      </c>
      <c r="V25" s="29" t="s">
        <v>18</v>
      </c>
    </row>
    <row r="26" spans="1:22" s="13" customFormat="1" ht="36" x14ac:dyDescent="0.25">
      <c r="A26" s="193">
        <v>17</v>
      </c>
      <c r="B26" s="196" t="s">
        <v>180</v>
      </c>
      <c r="C26" s="194" t="s">
        <v>186</v>
      </c>
      <c r="D26" s="189">
        <v>36</v>
      </c>
      <c r="E26" s="189"/>
      <c r="F26" s="189"/>
      <c r="G26" s="204">
        <f t="shared" si="0"/>
        <v>36</v>
      </c>
      <c r="H26" s="198">
        <v>9</v>
      </c>
      <c r="I26" s="198">
        <v>9</v>
      </c>
      <c r="J26" s="198"/>
      <c r="K26" s="198"/>
      <c r="L26" s="188">
        <f t="shared" si="1"/>
        <v>18</v>
      </c>
      <c r="M26" s="202">
        <v>9</v>
      </c>
      <c r="N26" s="202">
        <v>9</v>
      </c>
      <c r="O26" s="202"/>
      <c r="P26" s="202"/>
      <c r="Q26" s="188">
        <f t="shared" si="3"/>
        <v>18</v>
      </c>
      <c r="R26" s="189">
        <f t="shared" si="2"/>
        <v>0</v>
      </c>
      <c r="S26" s="192">
        <f t="shared" si="4"/>
        <v>0</v>
      </c>
      <c r="T26" s="9">
        <v>8203139.8599999994</v>
      </c>
      <c r="U26" s="9">
        <f>2925588.09+364458.74</f>
        <v>3290046.83</v>
      </c>
      <c r="V26" s="29" t="s">
        <v>19</v>
      </c>
    </row>
    <row r="27" spans="1:22" s="13" customFormat="1" ht="27.75" customHeight="1" x14ac:dyDescent="0.25">
      <c r="A27" s="193">
        <v>18</v>
      </c>
      <c r="B27" s="196" t="s">
        <v>181</v>
      </c>
      <c r="C27" s="194" t="s">
        <v>195</v>
      </c>
      <c r="D27" s="189">
        <v>1</v>
      </c>
      <c r="E27" s="189"/>
      <c r="F27" s="189"/>
      <c r="G27" s="204">
        <v>1</v>
      </c>
      <c r="H27" s="198">
        <v>1</v>
      </c>
      <c r="I27" s="198">
        <v>1</v>
      </c>
      <c r="J27" s="198"/>
      <c r="K27" s="198"/>
      <c r="L27" s="188">
        <f>H27</f>
        <v>1</v>
      </c>
      <c r="M27" s="202">
        <v>1</v>
      </c>
      <c r="N27" s="202">
        <v>1</v>
      </c>
      <c r="O27" s="202"/>
      <c r="P27" s="202"/>
      <c r="Q27" s="188">
        <f>M27</f>
        <v>1</v>
      </c>
      <c r="R27" s="189">
        <f t="shared" si="2"/>
        <v>0</v>
      </c>
      <c r="S27" s="192">
        <f>(Q27/L27)-1</f>
        <v>0</v>
      </c>
      <c r="T27" s="9">
        <v>98876372.722684622</v>
      </c>
      <c r="U27" s="9">
        <f>2254529.34+39550379.75</f>
        <v>41804909.090000004</v>
      </c>
      <c r="V27" s="29" t="s">
        <v>20</v>
      </c>
    </row>
    <row r="28" spans="1:22" s="13" customFormat="1" ht="27.75" customHeight="1" x14ac:dyDescent="0.25">
      <c r="A28" s="193">
        <v>19</v>
      </c>
      <c r="B28" s="196" t="s">
        <v>182</v>
      </c>
      <c r="C28" s="194" t="s">
        <v>195</v>
      </c>
      <c r="D28" s="189">
        <v>4</v>
      </c>
      <c r="E28" s="189"/>
      <c r="F28" s="189"/>
      <c r="G28" s="204">
        <f t="shared" si="0"/>
        <v>4</v>
      </c>
      <c r="H28" s="198">
        <v>2</v>
      </c>
      <c r="I28" s="198">
        <v>1</v>
      </c>
      <c r="J28" s="198"/>
      <c r="K28" s="198"/>
      <c r="L28" s="188">
        <f t="shared" si="1"/>
        <v>3</v>
      </c>
      <c r="M28" s="202">
        <v>2</v>
      </c>
      <c r="N28" s="202">
        <v>1</v>
      </c>
      <c r="O28" s="202"/>
      <c r="P28" s="202"/>
      <c r="Q28" s="188">
        <f t="shared" si="3"/>
        <v>3</v>
      </c>
      <c r="R28" s="189">
        <f t="shared" si="2"/>
        <v>0</v>
      </c>
      <c r="S28" s="192">
        <f t="shared" si="4"/>
        <v>0</v>
      </c>
      <c r="T28" s="9">
        <v>2456718.9900000002</v>
      </c>
      <c r="U28" s="9">
        <f>744710.22+570061.08</f>
        <v>1314771.2999999998</v>
      </c>
      <c r="V28" s="29" t="s">
        <v>21</v>
      </c>
    </row>
    <row r="29" spans="1:22" s="13" customFormat="1" ht="27.75" customHeight="1" x14ac:dyDescent="0.25">
      <c r="A29" s="193">
        <v>20</v>
      </c>
      <c r="B29" s="196" t="s">
        <v>183</v>
      </c>
      <c r="C29" s="194" t="s">
        <v>196</v>
      </c>
      <c r="D29" s="189">
        <v>53</v>
      </c>
      <c r="E29" s="189"/>
      <c r="F29" s="189"/>
      <c r="G29" s="204">
        <f t="shared" si="0"/>
        <v>53</v>
      </c>
      <c r="H29" s="198">
        <v>15</v>
      </c>
      <c r="I29" s="198">
        <v>13</v>
      </c>
      <c r="J29" s="198"/>
      <c r="K29" s="198"/>
      <c r="L29" s="188">
        <f t="shared" si="1"/>
        <v>28</v>
      </c>
      <c r="M29" s="202">
        <v>15</v>
      </c>
      <c r="N29" s="202">
        <v>13</v>
      </c>
      <c r="O29" s="202"/>
      <c r="P29" s="202"/>
      <c r="Q29" s="188">
        <f>SUM(M29:P29)</f>
        <v>28</v>
      </c>
      <c r="R29" s="189">
        <f t="shared" si="2"/>
        <v>0</v>
      </c>
      <c r="S29" s="192">
        <f>(Q29/L29)-1</f>
        <v>0</v>
      </c>
      <c r="T29" s="9">
        <v>410809.73</v>
      </c>
      <c r="U29" s="9">
        <v>91341.08</v>
      </c>
      <c r="V29" s="29" t="s">
        <v>135</v>
      </c>
    </row>
    <row r="30" spans="1:22" s="172" customFormat="1" ht="24.75" customHeight="1" x14ac:dyDescent="0.25">
      <c r="A30" s="171"/>
      <c r="B30" s="251" t="s">
        <v>1</v>
      </c>
      <c r="C30" s="218"/>
      <c r="D30" s="97">
        <f t="shared" ref="D30:K30" si="5">SUM(D10:D29)</f>
        <v>21205</v>
      </c>
      <c r="E30" s="97">
        <f t="shared" ref="E30" si="6">SUM(E10:E29)</f>
        <v>311</v>
      </c>
      <c r="F30" s="97">
        <f t="shared" ref="F30" si="7">SUM(F10:F29)</f>
        <v>1</v>
      </c>
      <c r="G30" s="97">
        <f t="shared" ref="G30" si="8">SUM(G10:G29)</f>
        <v>21515</v>
      </c>
      <c r="H30" s="200">
        <f t="shared" si="5"/>
        <v>10186</v>
      </c>
      <c r="I30" s="200">
        <f t="shared" si="5"/>
        <v>8987</v>
      </c>
      <c r="J30" s="200">
        <f t="shared" si="5"/>
        <v>0</v>
      </c>
      <c r="K30" s="200">
        <f t="shared" si="5"/>
        <v>0</v>
      </c>
      <c r="L30" s="97">
        <f>SUM(L10:L29)</f>
        <v>15126</v>
      </c>
      <c r="M30" s="97">
        <f t="shared" ref="M30:Q30" si="9">SUM(M10:M29)</f>
        <v>10186</v>
      </c>
      <c r="N30" s="97">
        <f t="shared" si="9"/>
        <v>8987</v>
      </c>
      <c r="O30" s="97">
        <f t="shared" si="9"/>
        <v>0</v>
      </c>
      <c r="P30" s="97">
        <f t="shared" si="9"/>
        <v>0</v>
      </c>
      <c r="Q30" s="97">
        <f t="shared" si="9"/>
        <v>15126</v>
      </c>
      <c r="R30" s="97">
        <f>SUM(R10:R29)</f>
        <v>0</v>
      </c>
      <c r="S30" s="165">
        <f>Q30/L30-1</f>
        <v>0</v>
      </c>
      <c r="T30" s="96">
        <f>SUM(T10:T29)</f>
        <v>121444711.18268462</v>
      </c>
      <c r="U30" s="96">
        <f>SUM(U10:U29)</f>
        <v>48879845.699999996</v>
      </c>
      <c r="V30" s="197"/>
    </row>
    <row r="31" spans="1:22" s="13" customFormat="1" ht="21" customHeight="1" x14ac:dyDescent="0.25"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09"/>
      <c r="U31" s="185"/>
      <c r="V31" s="197"/>
    </row>
    <row r="32" spans="1:22" s="64" customFormat="1" ht="51.75" customHeight="1" x14ac:dyDescent="0.25">
      <c r="A32" s="250" t="s">
        <v>207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</row>
    <row r="33" spans="1:22" s="64" customFormat="1" ht="24" customHeight="1" x14ac:dyDescent="0.25">
      <c r="A33" s="244" t="s">
        <v>188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</row>
    <row r="34" spans="1:22" s="13" customFormat="1" x14ac:dyDescent="0.25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77"/>
    </row>
    <row r="35" spans="1:22" s="107" customFormat="1" ht="15" x14ac:dyDescent="0.25"/>
    <row r="36" spans="1:22" s="107" customFormat="1" ht="15" x14ac:dyDescent="0.25"/>
    <row r="37" spans="1:22" s="107" customFormat="1" ht="15" x14ac:dyDescent="0.25"/>
    <row r="38" spans="1:22" s="107" customFormat="1" ht="15" x14ac:dyDescent="0.25"/>
    <row r="39" spans="1:22" s="107" customFormat="1" ht="15" x14ac:dyDescent="0.25"/>
    <row r="40" spans="1:22" s="107" customFormat="1" ht="15" x14ac:dyDescent="0.25"/>
    <row r="41" spans="1:22" s="107" customFormat="1" ht="15" x14ac:dyDescent="0.25">
      <c r="S41" s="159"/>
    </row>
    <row r="42" spans="1:22" s="107" customFormat="1" ht="15" x14ac:dyDescent="0.25"/>
    <row r="43" spans="1:22" s="107" customFormat="1" ht="15" x14ac:dyDescent="0.25"/>
    <row r="44" spans="1:22" ht="11.25" x14ac:dyDescent="0.2">
      <c r="U44" s="3"/>
    </row>
  </sheetData>
  <mergeCells count="23">
    <mergeCell ref="A2:V2"/>
    <mergeCell ref="A3:V3"/>
    <mergeCell ref="A4:V4"/>
    <mergeCell ref="A32:V32"/>
    <mergeCell ref="B30:C30"/>
    <mergeCell ref="B6:B9"/>
    <mergeCell ref="C6:C9"/>
    <mergeCell ref="D6:S7"/>
    <mergeCell ref="T6:U7"/>
    <mergeCell ref="T8:T9"/>
    <mergeCell ref="U8:U9"/>
    <mergeCell ref="M8:P8"/>
    <mergeCell ref="Q8:Q9"/>
    <mergeCell ref="R8:S8"/>
    <mergeCell ref="A6:A9"/>
    <mergeCell ref="E8:E9"/>
    <mergeCell ref="A33:V33"/>
    <mergeCell ref="L8:L9"/>
    <mergeCell ref="D8:D9"/>
    <mergeCell ref="V6:V9"/>
    <mergeCell ref="H8:K8"/>
    <mergeCell ref="F8:F9"/>
    <mergeCell ref="G8:G9"/>
  </mergeCells>
  <printOptions horizontalCentered="1"/>
  <pageMargins left="0.59055118110236227" right="0" top="0.43" bottom="0.36" header="0.31496062992125984" footer="0.31496062992125984"/>
  <pageSetup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V49"/>
  <sheetViews>
    <sheetView topLeftCell="A23" workbookViewId="0">
      <selection activeCell="B2" sqref="B2:U29"/>
    </sheetView>
  </sheetViews>
  <sheetFormatPr baseColWidth="10" defaultRowHeight="12.75" x14ac:dyDescent="0.2"/>
  <cols>
    <col min="1" max="1" width="1.7109375" style="24" customWidth="1"/>
    <col min="2" max="2" width="5.28515625" style="51" customWidth="1"/>
    <col min="3" max="3" width="25.42578125" style="51" customWidth="1"/>
    <col min="4" max="4" width="14" style="51" customWidth="1"/>
    <col min="5" max="5" width="9.140625" style="51" bestFit="1" customWidth="1"/>
    <col min="6" max="6" width="11.85546875" style="51" hidden="1" customWidth="1"/>
    <col min="7" max="7" width="8.42578125" style="51" bestFit="1" customWidth="1"/>
    <col min="8" max="8" width="11.85546875" style="51" bestFit="1" customWidth="1"/>
    <col min="9" max="9" width="9.85546875" style="51" bestFit="1" customWidth="1"/>
    <col min="10" max="10" width="8.5703125" style="51" customWidth="1"/>
    <col min="11" max="11" width="13" style="51" hidden="1" customWidth="1"/>
    <col min="12" max="12" width="9.7109375" style="51" hidden="1" customWidth="1"/>
    <col min="13" max="13" width="10.7109375" style="51" hidden="1" customWidth="1"/>
    <col min="14" max="14" width="11.7109375" style="51" hidden="1" customWidth="1"/>
    <col min="15" max="15" width="11.42578125" style="51" hidden="1" customWidth="1"/>
    <col min="16" max="16" width="14.42578125" style="51" hidden="1" customWidth="1"/>
    <col min="17" max="17" width="14.140625" style="143" hidden="1" customWidth="1"/>
    <col min="18" max="18" width="13" style="51" hidden="1" customWidth="1"/>
    <col min="19" max="19" width="11" style="51" hidden="1" customWidth="1"/>
    <col min="20" max="20" width="9.140625" style="51" hidden="1" customWidth="1"/>
    <col min="21" max="21" width="9.85546875" style="24" hidden="1" customWidth="1"/>
    <col min="22" max="167" width="11.42578125" style="24"/>
    <col min="168" max="168" width="5.28515625" style="24" customWidth="1"/>
    <col min="169" max="169" width="25.42578125" style="24" customWidth="1"/>
    <col min="170" max="170" width="14" style="24" customWidth="1"/>
    <col min="171" max="171" width="9.28515625" style="24" customWidth="1"/>
    <col min="172" max="172" width="13.5703125" style="24" customWidth="1"/>
    <col min="173" max="173" width="12.140625" style="24" customWidth="1"/>
    <col min="174" max="174" width="10.7109375" style="24" customWidth="1"/>
    <col min="175" max="175" width="10.42578125" style="24" customWidth="1"/>
    <col min="176" max="176" width="10.5703125" style="24" customWidth="1"/>
    <col min="177" max="177" width="12.5703125" style="24" customWidth="1"/>
    <col min="178" max="178" width="12" style="24" customWidth="1"/>
    <col min="179" max="179" width="12.28515625" style="24" customWidth="1"/>
    <col min="180" max="180" width="0" style="24" hidden="1" customWidth="1"/>
    <col min="181" max="181" width="12.42578125" style="24" customWidth="1"/>
    <col min="182" max="182" width="11.28515625" style="24" customWidth="1"/>
    <col min="183" max="184" width="0" style="24" hidden="1" customWidth="1"/>
    <col min="185" max="185" width="8.85546875" style="24" bestFit="1" customWidth="1"/>
    <col min="186" max="423" width="11.42578125" style="24"/>
    <col min="424" max="424" width="5.28515625" style="24" customWidth="1"/>
    <col min="425" max="425" width="25.42578125" style="24" customWidth="1"/>
    <col min="426" max="426" width="14" style="24" customWidth="1"/>
    <col min="427" max="427" width="9.28515625" style="24" customWidth="1"/>
    <col min="428" max="428" width="13.5703125" style="24" customWidth="1"/>
    <col min="429" max="429" width="12.140625" style="24" customWidth="1"/>
    <col min="430" max="430" width="10.7109375" style="24" customWidth="1"/>
    <col min="431" max="431" width="10.42578125" style="24" customWidth="1"/>
    <col min="432" max="432" width="10.5703125" style="24" customWidth="1"/>
    <col min="433" max="433" width="12.5703125" style="24" customWidth="1"/>
    <col min="434" max="434" width="12" style="24" customWidth="1"/>
    <col min="435" max="435" width="12.28515625" style="24" customWidth="1"/>
    <col min="436" max="436" width="0" style="24" hidden="1" customWidth="1"/>
    <col min="437" max="437" width="12.42578125" style="24" customWidth="1"/>
    <col min="438" max="438" width="11.28515625" style="24" customWidth="1"/>
    <col min="439" max="440" width="0" style="24" hidden="1" customWidth="1"/>
    <col min="441" max="441" width="8.85546875" style="24" bestFit="1" customWidth="1"/>
    <col min="442" max="679" width="11.42578125" style="24"/>
    <col min="680" max="680" width="5.28515625" style="24" customWidth="1"/>
    <col min="681" max="681" width="25.42578125" style="24" customWidth="1"/>
    <col min="682" max="682" width="14" style="24" customWidth="1"/>
    <col min="683" max="683" width="9.28515625" style="24" customWidth="1"/>
    <col min="684" max="684" width="13.5703125" style="24" customWidth="1"/>
    <col min="685" max="685" width="12.140625" style="24" customWidth="1"/>
    <col min="686" max="686" width="10.7109375" style="24" customWidth="1"/>
    <col min="687" max="687" width="10.42578125" style="24" customWidth="1"/>
    <col min="688" max="688" width="10.5703125" style="24" customWidth="1"/>
    <col min="689" max="689" width="12.5703125" style="24" customWidth="1"/>
    <col min="690" max="690" width="12" style="24" customWidth="1"/>
    <col min="691" max="691" width="12.28515625" style="24" customWidth="1"/>
    <col min="692" max="692" width="0" style="24" hidden="1" customWidth="1"/>
    <col min="693" max="693" width="12.42578125" style="24" customWidth="1"/>
    <col min="694" max="694" width="11.28515625" style="24" customWidth="1"/>
    <col min="695" max="696" width="0" style="24" hidden="1" customWidth="1"/>
    <col min="697" max="697" width="8.85546875" style="24" bestFit="1" customWidth="1"/>
    <col min="698" max="935" width="11.42578125" style="24"/>
    <col min="936" max="936" width="5.28515625" style="24" customWidth="1"/>
    <col min="937" max="937" width="25.42578125" style="24" customWidth="1"/>
    <col min="938" max="938" width="14" style="24" customWidth="1"/>
    <col min="939" max="939" width="9.28515625" style="24" customWidth="1"/>
    <col min="940" max="940" width="13.5703125" style="24" customWidth="1"/>
    <col min="941" max="941" width="12.140625" style="24" customWidth="1"/>
    <col min="942" max="942" width="10.7109375" style="24" customWidth="1"/>
    <col min="943" max="943" width="10.42578125" style="24" customWidth="1"/>
    <col min="944" max="944" width="10.5703125" style="24" customWidth="1"/>
    <col min="945" max="945" width="12.5703125" style="24" customWidth="1"/>
    <col min="946" max="946" width="12" style="24" customWidth="1"/>
    <col min="947" max="947" width="12.28515625" style="24" customWidth="1"/>
    <col min="948" max="948" width="0" style="24" hidden="1" customWidth="1"/>
    <col min="949" max="949" width="12.42578125" style="24" customWidth="1"/>
    <col min="950" max="950" width="11.28515625" style="24" customWidth="1"/>
    <col min="951" max="952" width="0" style="24" hidden="1" customWidth="1"/>
    <col min="953" max="953" width="8.85546875" style="24" bestFit="1" customWidth="1"/>
    <col min="954" max="1191" width="11.42578125" style="24"/>
    <col min="1192" max="1192" width="5.28515625" style="24" customWidth="1"/>
    <col min="1193" max="1193" width="25.42578125" style="24" customWidth="1"/>
    <col min="1194" max="1194" width="14" style="24" customWidth="1"/>
    <col min="1195" max="1195" width="9.28515625" style="24" customWidth="1"/>
    <col min="1196" max="1196" width="13.5703125" style="24" customWidth="1"/>
    <col min="1197" max="1197" width="12.140625" style="24" customWidth="1"/>
    <col min="1198" max="1198" width="10.7109375" style="24" customWidth="1"/>
    <col min="1199" max="1199" width="10.42578125" style="24" customWidth="1"/>
    <col min="1200" max="1200" width="10.5703125" style="24" customWidth="1"/>
    <col min="1201" max="1201" width="12.5703125" style="24" customWidth="1"/>
    <col min="1202" max="1202" width="12" style="24" customWidth="1"/>
    <col min="1203" max="1203" width="12.28515625" style="24" customWidth="1"/>
    <col min="1204" max="1204" width="0" style="24" hidden="1" customWidth="1"/>
    <col min="1205" max="1205" width="12.42578125" style="24" customWidth="1"/>
    <col min="1206" max="1206" width="11.28515625" style="24" customWidth="1"/>
    <col min="1207" max="1208" width="0" style="24" hidden="1" customWidth="1"/>
    <col min="1209" max="1209" width="8.85546875" style="24" bestFit="1" customWidth="1"/>
    <col min="1210" max="1447" width="11.42578125" style="24"/>
    <col min="1448" max="1448" width="5.28515625" style="24" customWidth="1"/>
    <col min="1449" max="1449" width="25.42578125" style="24" customWidth="1"/>
    <col min="1450" max="1450" width="14" style="24" customWidth="1"/>
    <col min="1451" max="1451" width="9.28515625" style="24" customWidth="1"/>
    <col min="1452" max="1452" width="13.5703125" style="24" customWidth="1"/>
    <col min="1453" max="1453" width="12.140625" style="24" customWidth="1"/>
    <col min="1454" max="1454" width="10.7109375" style="24" customWidth="1"/>
    <col min="1455" max="1455" width="10.42578125" style="24" customWidth="1"/>
    <col min="1456" max="1456" width="10.5703125" style="24" customWidth="1"/>
    <col min="1457" max="1457" width="12.5703125" style="24" customWidth="1"/>
    <col min="1458" max="1458" width="12" style="24" customWidth="1"/>
    <col min="1459" max="1459" width="12.28515625" style="24" customWidth="1"/>
    <col min="1460" max="1460" width="0" style="24" hidden="1" customWidth="1"/>
    <col min="1461" max="1461" width="12.42578125" style="24" customWidth="1"/>
    <col min="1462" max="1462" width="11.28515625" style="24" customWidth="1"/>
    <col min="1463" max="1464" width="0" style="24" hidden="1" customWidth="1"/>
    <col min="1465" max="1465" width="8.85546875" style="24" bestFit="1" customWidth="1"/>
    <col min="1466" max="1703" width="11.42578125" style="24"/>
    <col min="1704" max="1704" width="5.28515625" style="24" customWidth="1"/>
    <col min="1705" max="1705" width="25.42578125" style="24" customWidth="1"/>
    <col min="1706" max="1706" width="14" style="24" customWidth="1"/>
    <col min="1707" max="1707" width="9.28515625" style="24" customWidth="1"/>
    <col min="1708" max="1708" width="13.5703125" style="24" customWidth="1"/>
    <col min="1709" max="1709" width="12.140625" style="24" customWidth="1"/>
    <col min="1710" max="1710" width="10.7109375" style="24" customWidth="1"/>
    <col min="1711" max="1711" width="10.42578125" style="24" customWidth="1"/>
    <col min="1712" max="1712" width="10.5703125" style="24" customWidth="1"/>
    <col min="1713" max="1713" width="12.5703125" style="24" customWidth="1"/>
    <col min="1714" max="1714" width="12" style="24" customWidth="1"/>
    <col min="1715" max="1715" width="12.28515625" style="24" customWidth="1"/>
    <col min="1716" max="1716" width="0" style="24" hidden="1" customWidth="1"/>
    <col min="1717" max="1717" width="12.42578125" style="24" customWidth="1"/>
    <col min="1718" max="1718" width="11.28515625" style="24" customWidth="1"/>
    <col min="1719" max="1720" width="0" style="24" hidden="1" customWidth="1"/>
    <col min="1721" max="1721" width="8.85546875" style="24" bestFit="1" customWidth="1"/>
    <col min="1722" max="1959" width="11.42578125" style="24"/>
    <col min="1960" max="1960" width="5.28515625" style="24" customWidth="1"/>
    <col min="1961" max="1961" width="25.42578125" style="24" customWidth="1"/>
    <col min="1962" max="1962" width="14" style="24" customWidth="1"/>
    <col min="1963" max="1963" width="9.28515625" style="24" customWidth="1"/>
    <col min="1964" max="1964" width="13.5703125" style="24" customWidth="1"/>
    <col min="1965" max="1965" width="12.140625" style="24" customWidth="1"/>
    <col min="1966" max="1966" width="10.7109375" style="24" customWidth="1"/>
    <col min="1967" max="1967" width="10.42578125" style="24" customWidth="1"/>
    <col min="1968" max="1968" width="10.5703125" style="24" customWidth="1"/>
    <col min="1969" max="1969" width="12.5703125" style="24" customWidth="1"/>
    <col min="1970" max="1970" width="12" style="24" customWidth="1"/>
    <col min="1971" max="1971" width="12.28515625" style="24" customWidth="1"/>
    <col min="1972" max="1972" width="0" style="24" hidden="1" customWidth="1"/>
    <col min="1973" max="1973" width="12.42578125" style="24" customWidth="1"/>
    <col min="1974" max="1974" width="11.28515625" style="24" customWidth="1"/>
    <col min="1975" max="1976" width="0" style="24" hidden="1" customWidth="1"/>
    <col min="1977" max="1977" width="8.85546875" style="24" bestFit="1" customWidth="1"/>
    <col min="1978" max="2215" width="11.42578125" style="24"/>
    <col min="2216" max="2216" width="5.28515625" style="24" customWidth="1"/>
    <col min="2217" max="2217" width="25.42578125" style="24" customWidth="1"/>
    <col min="2218" max="2218" width="14" style="24" customWidth="1"/>
    <col min="2219" max="2219" width="9.28515625" style="24" customWidth="1"/>
    <col min="2220" max="2220" width="13.5703125" style="24" customWidth="1"/>
    <col min="2221" max="2221" width="12.140625" style="24" customWidth="1"/>
    <col min="2222" max="2222" width="10.7109375" style="24" customWidth="1"/>
    <col min="2223" max="2223" width="10.42578125" style="24" customWidth="1"/>
    <col min="2224" max="2224" width="10.5703125" style="24" customWidth="1"/>
    <col min="2225" max="2225" width="12.5703125" style="24" customWidth="1"/>
    <col min="2226" max="2226" width="12" style="24" customWidth="1"/>
    <col min="2227" max="2227" width="12.28515625" style="24" customWidth="1"/>
    <col min="2228" max="2228" width="0" style="24" hidden="1" customWidth="1"/>
    <col min="2229" max="2229" width="12.42578125" style="24" customWidth="1"/>
    <col min="2230" max="2230" width="11.28515625" style="24" customWidth="1"/>
    <col min="2231" max="2232" width="0" style="24" hidden="1" customWidth="1"/>
    <col min="2233" max="2233" width="8.85546875" style="24" bestFit="1" customWidth="1"/>
    <col min="2234" max="2471" width="11.42578125" style="24"/>
    <col min="2472" max="2472" width="5.28515625" style="24" customWidth="1"/>
    <col min="2473" max="2473" width="25.42578125" style="24" customWidth="1"/>
    <col min="2474" max="2474" width="14" style="24" customWidth="1"/>
    <col min="2475" max="2475" width="9.28515625" style="24" customWidth="1"/>
    <col min="2476" max="2476" width="13.5703125" style="24" customWidth="1"/>
    <col min="2477" max="2477" width="12.140625" style="24" customWidth="1"/>
    <col min="2478" max="2478" width="10.7109375" style="24" customWidth="1"/>
    <col min="2479" max="2479" width="10.42578125" style="24" customWidth="1"/>
    <col min="2480" max="2480" width="10.5703125" style="24" customWidth="1"/>
    <col min="2481" max="2481" width="12.5703125" style="24" customWidth="1"/>
    <col min="2482" max="2482" width="12" style="24" customWidth="1"/>
    <col min="2483" max="2483" width="12.28515625" style="24" customWidth="1"/>
    <col min="2484" max="2484" width="0" style="24" hidden="1" customWidth="1"/>
    <col min="2485" max="2485" width="12.42578125" style="24" customWidth="1"/>
    <col min="2486" max="2486" width="11.28515625" style="24" customWidth="1"/>
    <col min="2487" max="2488" width="0" style="24" hidden="1" customWidth="1"/>
    <col min="2489" max="2489" width="8.85546875" style="24" bestFit="1" customWidth="1"/>
    <col min="2490" max="2727" width="11.42578125" style="24"/>
    <col min="2728" max="2728" width="5.28515625" style="24" customWidth="1"/>
    <col min="2729" max="2729" width="25.42578125" style="24" customWidth="1"/>
    <col min="2730" max="2730" width="14" style="24" customWidth="1"/>
    <col min="2731" max="2731" width="9.28515625" style="24" customWidth="1"/>
    <col min="2732" max="2732" width="13.5703125" style="24" customWidth="1"/>
    <col min="2733" max="2733" width="12.140625" style="24" customWidth="1"/>
    <col min="2734" max="2734" width="10.7109375" style="24" customWidth="1"/>
    <col min="2735" max="2735" width="10.42578125" style="24" customWidth="1"/>
    <col min="2736" max="2736" width="10.5703125" style="24" customWidth="1"/>
    <col min="2737" max="2737" width="12.5703125" style="24" customWidth="1"/>
    <col min="2738" max="2738" width="12" style="24" customWidth="1"/>
    <col min="2739" max="2739" width="12.28515625" style="24" customWidth="1"/>
    <col min="2740" max="2740" width="0" style="24" hidden="1" customWidth="1"/>
    <col min="2741" max="2741" width="12.42578125" style="24" customWidth="1"/>
    <col min="2742" max="2742" width="11.28515625" style="24" customWidth="1"/>
    <col min="2743" max="2744" width="0" style="24" hidden="1" customWidth="1"/>
    <col min="2745" max="2745" width="8.85546875" style="24" bestFit="1" customWidth="1"/>
    <col min="2746" max="2983" width="11.42578125" style="24"/>
    <col min="2984" max="2984" width="5.28515625" style="24" customWidth="1"/>
    <col min="2985" max="2985" width="25.42578125" style="24" customWidth="1"/>
    <col min="2986" max="2986" width="14" style="24" customWidth="1"/>
    <col min="2987" max="2987" width="9.28515625" style="24" customWidth="1"/>
    <col min="2988" max="2988" width="13.5703125" style="24" customWidth="1"/>
    <col min="2989" max="2989" width="12.140625" style="24" customWidth="1"/>
    <col min="2990" max="2990" width="10.7109375" style="24" customWidth="1"/>
    <col min="2991" max="2991" width="10.42578125" style="24" customWidth="1"/>
    <col min="2992" max="2992" width="10.5703125" style="24" customWidth="1"/>
    <col min="2993" max="2993" width="12.5703125" style="24" customWidth="1"/>
    <col min="2994" max="2994" width="12" style="24" customWidth="1"/>
    <col min="2995" max="2995" width="12.28515625" style="24" customWidth="1"/>
    <col min="2996" max="2996" width="0" style="24" hidden="1" customWidth="1"/>
    <col min="2997" max="2997" width="12.42578125" style="24" customWidth="1"/>
    <col min="2998" max="2998" width="11.28515625" style="24" customWidth="1"/>
    <col min="2999" max="3000" width="0" style="24" hidden="1" customWidth="1"/>
    <col min="3001" max="3001" width="8.85546875" style="24" bestFit="1" customWidth="1"/>
    <col min="3002" max="3239" width="11.42578125" style="24"/>
    <col min="3240" max="3240" width="5.28515625" style="24" customWidth="1"/>
    <col min="3241" max="3241" width="25.42578125" style="24" customWidth="1"/>
    <col min="3242" max="3242" width="14" style="24" customWidth="1"/>
    <col min="3243" max="3243" width="9.28515625" style="24" customWidth="1"/>
    <col min="3244" max="3244" width="13.5703125" style="24" customWidth="1"/>
    <col min="3245" max="3245" width="12.140625" style="24" customWidth="1"/>
    <col min="3246" max="3246" width="10.7109375" style="24" customWidth="1"/>
    <col min="3247" max="3247" width="10.42578125" style="24" customWidth="1"/>
    <col min="3248" max="3248" width="10.5703125" style="24" customWidth="1"/>
    <col min="3249" max="3249" width="12.5703125" style="24" customWidth="1"/>
    <col min="3250" max="3250" width="12" style="24" customWidth="1"/>
    <col min="3251" max="3251" width="12.28515625" style="24" customWidth="1"/>
    <col min="3252" max="3252" width="0" style="24" hidden="1" customWidth="1"/>
    <col min="3253" max="3253" width="12.42578125" style="24" customWidth="1"/>
    <col min="3254" max="3254" width="11.28515625" style="24" customWidth="1"/>
    <col min="3255" max="3256" width="0" style="24" hidden="1" customWidth="1"/>
    <col min="3257" max="3257" width="8.85546875" style="24" bestFit="1" customWidth="1"/>
    <col min="3258" max="3495" width="11.42578125" style="24"/>
    <col min="3496" max="3496" width="5.28515625" style="24" customWidth="1"/>
    <col min="3497" max="3497" width="25.42578125" style="24" customWidth="1"/>
    <col min="3498" max="3498" width="14" style="24" customWidth="1"/>
    <col min="3499" max="3499" width="9.28515625" style="24" customWidth="1"/>
    <col min="3500" max="3500" width="13.5703125" style="24" customWidth="1"/>
    <col min="3501" max="3501" width="12.140625" style="24" customWidth="1"/>
    <col min="3502" max="3502" width="10.7109375" style="24" customWidth="1"/>
    <col min="3503" max="3503" width="10.42578125" style="24" customWidth="1"/>
    <col min="3504" max="3504" width="10.5703125" style="24" customWidth="1"/>
    <col min="3505" max="3505" width="12.5703125" style="24" customWidth="1"/>
    <col min="3506" max="3506" width="12" style="24" customWidth="1"/>
    <col min="3507" max="3507" width="12.28515625" style="24" customWidth="1"/>
    <col min="3508" max="3508" width="0" style="24" hidden="1" customWidth="1"/>
    <col min="3509" max="3509" width="12.42578125" style="24" customWidth="1"/>
    <col min="3510" max="3510" width="11.28515625" style="24" customWidth="1"/>
    <col min="3511" max="3512" width="0" style="24" hidden="1" customWidth="1"/>
    <col min="3513" max="3513" width="8.85546875" style="24" bestFit="1" customWidth="1"/>
    <col min="3514" max="3751" width="11.42578125" style="24"/>
    <col min="3752" max="3752" width="5.28515625" style="24" customWidth="1"/>
    <col min="3753" max="3753" width="25.42578125" style="24" customWidth="1"/>
    <col min="3754" max="3754" width="14" style="24" customWidth="1"/>
    <col min="3755" max="3755" width="9.28515625" style="24" customWidth="1"/>
    <col min="3756" max="3756" width="13.5703125" style="24" customWidth="1"/>
    <col min="3757" max="3757" width="12.140625" style="24" customWidth="1"/>
    <col min="3758" max="3758" width="10.7109375" style="24" customWidth="1"/>
    <col min="3759" max="3759" width="10.42578125" style="24" customWidth="1"/>
    <col min="3760" max="3760" width="10.5703125" style="24" customWidth="1"/>
    <col min="3761" max="3761" width="12.5703125" style="24" customWidth="1"/>
    <col min="3762" max="3762" width="12" style="24" customWidth="1"/>
    <col min="3763" max="3763" width="12.28515625" style="24" customWidth="1"/>
    <col min="3764" max="3764" width="0" style="24" hidden="1" customWidth="1"/>
    <col min="3765" max="3765" width="12.42578125" style="24" customWidth="1"/>
    <col min="3766" max="3766" width="11.28515625" style="24" customWidth="1"/>
    <col min="3767" max="3768" width="0" style="24" hidden="1" customWidth="1"/>
    <col min="3769" max="3769" width="8.85546875" style="24" bestFit="1" customWidth="1"/>
    <col min="3770" max="4007" width="11.42578125" style="24"/>
    <col min="4008" max="4008" width="5.28515625" style="24" customWidth="1"/>
    <col min="4009" max="4009" width="25.42578125" style="24" customWidth="1"/>
    <col min="4010" max="4010" width="14" style="24" customWidth="1"/>
    <col min="4011" max="4011" width="9.28515625" style="24" customWidth="1"/>
    <col min="4012" max="4012" width="13.5703125" style="24" customWidth="1"/>
    <col min="4013" max="4013" width="12.140625" style="24" customWidth="1"/>
    <col min="4014" max="4014" width="10.7109375" style="24" customWidth="1"/>
    <col min="4015" max="4015" width="10.42578125" style="24" customWidth="1"/>
    <col min="4016" max="4016" width="10.5703125" style="24" customWidth="1"/>
    <col min="4017" max="4017" width="12.5703125" style="24" customWidth="1"/>
    <col min="4018" max="4018" width="12" style="24" customWidth="1"/>
    <col min="4019" max="4019" width="12.28515625" style="24" customWidth="1"/>
    <col min="4020" max="4020" width="0" style="24" hidden="1" customWidth="1"/>
    <col min="4021" max="4021" width="12.42578125" style="24" customWidth="1"/>
    <col min="4022" max="4022" width="11.28515625" style="24" customWidth="1"/>
    <col min="4023" max="4024" width="0" style="24" hidden="1" customWidth="1"/>
    <col min="4025" max="4025" width="8.85546875" style="24" bestFit="1" customWidth="1"/>
    <col min="4026" max="4263" width="11.42578125" style="24"/>
    <col min="4264" max="4264" width="5.28515625" style="24" customWidth="1"/>
    <col min="4265" max="4265" width="25.42578125" style="24" customWidth="1"/>
    <col min="4266" max="4266" width="14" style="24" customWidth="1"/>
    <col min="4267" max="4267" width="9.28515625" style="24" customWidth="1"/>
    <col min="4268" max="4268" width="13.5703125" style="24" customWidth="1"/>
    <col min="4269" max="4269" width="12.140625" style="24" customWidth="1"/>
    <col min="4270" max="4270" width="10.7109375" style="24" customWidth="1"/>
    <col min="4271" max="4271" width="10.42578125" style="24" customWidth="1"/>
    <col min="4272" max="4272" width="10.5703125" style="24" customWidth="1"/>
    <col min="4273" max="4273" width="12.5703125" style="24" customWidth="1"/>
    <col min="4274" max="4274" width="12" style="24" customWidth="1"/>
    <col min="4275" max="4275" width="12.28515625" style="24" customWidth="1"/>
    <col min="4276" max="4276" width="0" style="24" hidden="1" customWidth="1"/>
    <col min="4277" max="4277" width="12.42578125" style="24" customWidth="1"/>
    <col min="4278" max="4278" width="11.28515625" style="24" customWidth="1"/>
    <col min="4279" max="4280" width="0" style="24" hidden="1" customWidth="1"/>
    <col min="4281" max="4281" width="8.85546875" style="24" bestFit="1" customWidth="1"/>
    <col min="4282" max="4519" width="11.42578125" style="24"/>
    <col min="4520" max="4520" width="5.28515625" style="24" customWidth="1"/>
    <col min="4521" max="4521" width="25.42578125" style="24" customWidth="1"/>
    <col min="4522" max="4522" width="14" style="24" customWidth="1"/>
    <col min="4523" max="4523" width="9.28515625" style="24" customWidth="1"/>
    <col min="4524" max="4524" width="13.5703125" style="24" customWidth="1"/>
    <col min="4525" max="4525" width="12.140625" style="24" customWidth="1"/>
    <col min="4526" max="4526" width="10.7109375" style="24" customWidth="1"/>
    <col min="4527" max="4527" width="10.42578125" style="24" customWidth="1"/>
    <col min="4528" max="4528" width="10.5703125" style="24" customWidth="1"/>
    <col min="4529" max="4529" width="12.5703125" style="24" customWidth="1"/>
    <col min="4530" max="4530" width="12" style="24" customWidth="1"/>
    <col min="4531" max="4531" width="12.28515625" style="24" customWidth="1"/>
    <col min="4532" max="4532" width="0" style="24" hidden="1" customWidth="1"/>
    <col min="4533" max="4533" width="12.42578125" style="24" customWidth="1"/>
    <col min="4534" max="4534" width="11.28515625" style="24" customWidth="1"/>
    <col min="4535" max="4536" width="0" style="24" hidden="1" customWidth="1"/>
    <col min="4537" max="4537" width="8.85546875" style="24" bestFit="1" customWidth="1"/>
    <col min="4538" max="4775" width="11.42578125" style="24"/>
    <col min="4776" max="4776" width="5.28515625" style="24" customWidth="1"/>
    <col min="4777" max="4777" width="25.42578125" style="24" customWidth="1"/>
    <col min="4778" max="4778" width="14" style="24" customWidth="1"/>
    <col min="4779" max="4779" width="9.28515625" style="24" customWidth="1"/>
    <col min="4780" max="4780" width="13.5703125" style="24" customWidth="1"/>
    <col min="4781" max="4781" width="12.140625" style="24" customWidth="1"/>
    <col min="4782" max="4782" width="10.7109375" style="24" customWidth="1"/>
    <col min="4783" max="4783" width="10.42578125" style="24" customWidth="1"/>
    <col min="4784" max="4784" width="10.5703125" style="24" customWidth="1"/>
    <col min="4785" max="4785" width="12.5703125" style="24" customWidth="1"/>
    <col min="4786" max="4786" width="12" style="24" customWidth="1"/>
    <col min="4787" max="4787" width="12.28515625" style="24" customWidth="1"/>
    <col min="4788" max="4788" width="0" style="24" hidden="1" customWidth="1"/>
    <col min="4789" max="4789" width="12.42578125" style="24" customWidth="1"/>
    <col min="4790" max="4790" width="11.28515625" style="24" customWidth="1"/>
    <col min="4791" max="4792" width="0" style="24" hidden="1" customWidth="1"/>
    <col min="4793" max="4793" width="8.85546875" style="24" bestFit="1" customWidth="1"/>
    <col min="4794" max="5031" width="11.42578125" style="24"/>
    <col min="5032" max="5032" width="5.28515625" style="24" customWidth="1"/>
    <col min="5033" max="5033" width="25.42578125" style="24" customWidth="1"/>
    <col min="5034" max="5034" width="14" style="24" customWidth="1"/>
    <col min="5035" max="5035" width="9.28515625" style="24" customWidth="1"/>
    <col min="5036" max="5036" width="13.5703125" style="24" customWidth="1"/>
    <col min="5037" max="5037" width="12.140625" style="24" customWidth="1"/>
    <col min="5038" max="5038" width="10.7109375" style="24" customWidth="1"/>
    <col min="5039" max="5039" width="10.42578125" style="24" customWidth="1"/>
    <col min="5040" max="5040" width="10.5703125" style="24" customWidth="1"/>
    <col min="5041" max="5041" width="12.5703125" style="24" customWidth="1"/>
    <col min="5042" max="5042" width="12" style="24" customWidth="1"/>
    <col min="5043" max="5043" width="12.28515625" style="24" customWidth="1"/>
    <col min="5044" max="5044" width="0" style="24" hidden="1" customWidth="1"/>
    <col min="5045" max="5045" width="12.42578125" style="24" customWidth="1"/>
    <col min="5046" max="5046" width="11.28515625" style="24" customWidth="1"/>
    <col min="5047" max="5048" width="0" style="24" hidden="1" customWidth="1"/>
    <col min="5049" max="5049" width="8.85546875" style="24" bestFit="1" customWidth="1"/>
    <col min="5050" max="5287" width="11.42578125" style="24"/>
    <col min="5288" max="5288" width="5.28515625" style="24" customWidth="1"/>
    <col min="5289" max="5289" width="25.42578125" style="24" customWidth="1"/>
    <col min="5290" max="5290" width="14" style="24" customWidth="1"/>
    <col min="5291" max="5291" width="9.28515625" style="24" customWidth="1"/>
    <col min="5292" max="5292" width="13.5703125" style="24" customWidth="1"/>
    <col min="5293" max="5293" width="12.140625" style="24" customWidth="1"/>
    <col min="5294" max="5294" width="10.7109375" style="24" customWidth="1"/>
    <col min="5295" max="5295" width="10.42578125" style="24" customWidth="1"/>
    <col min="5296" max="5296" width="10.5703125" style="24" customWidth="1"/>
    <col min="5297" max="5297" width="12.5703125" style="24" customWidth="1"/>
    <col min="5298" max="5298" width="12" style="24" customWidth="1"/>
    <col min="5299" max="5299" width="12.28515625" style="24" customWidth="1"/>
    <col min="5300" max="5300" width="0" style="24" hidden="1" customWidth="1"/>
    <col min="5301" max="5301" width="12.42578125" style="24" customWidth="1"/>
    <col min="5302" max="5302" width="11.28515625" style="24" customWidth="1"/>
    <col min="5303" max="5304" width="0" style="24" hidden="1" customWidth="1"/>
    <col min="5305" max="5305" width="8.85546875" style="24" bestFit="1" customWidth="1"/>
    <col min="5306" max="5543" width="11.42578125" style="24"/>
    <col min="5544" max="5544" width="5.28515625" style="24" customWidth="1"/>
    <col min="5545" max="5545" width="25.42578125" style="24" customWidth="1"/>
    <col min="5546" max="5546" width="14" style="24" customWidth="1"/>
    <col min="5547" max="5547" width="9.28515625" style="24" customWidth="1"/>
    <col min="5548" max="5548" width="13.5703125" style="24" customWidth="1"/>
    <col min="5549" max="5549" width="12.140625" style="24" customWidth="1"/>
    <col min="5550" max="5550" width="10.7109375" style="24" customWidth="1"/>
    <col min="5551" max="5551" width="10.42578125" style="24" customWidth="1"/>
    <col min="5552" max="5552" width="10.5703125" style="24" customWidth="1"/>
    <col min="5553" max="5553" width="12.5703125" style="24" customWidth="1"/>
    <col min="5554" max="5554" width="12" style="24" customWidth="1"/>
    <col min="5555" max="5555" width="12.28515625" style="24" customWidth="1"/>
    <col min="5556" max="5556" width="0" style="24" hidden="1" customWidth="1"/>
    <col min="5557" max="5557" width="12.42578125" style="24" customWidth="1"/>
    <col min="5558" max="5558" width="11.28515625" style="24" customWidth="1"/>
    <col min="5559" max="5560" width="0" style="24" hidden="1" customWidth="1"/>
    <col min="5561" max="5561" width="8.85546875" style="24" bestFit="1" customWidth="1"/>
    <col min="5562" max="5799" width="11.42578125" style="24"/>
    <col min="5800" max="5800" width="5.28515625" style="24" customWidth="1"/>
    <col min="5801" max="5801" width="25.42578125" style="24" customWidth="1"/>
    <col min="5802" max="5802" width="14" style="24" customWidth="1"/>
    <col min="5803" max="5803" width="9.28515625" style="24" customWidth="1"/>
    <col min="5804" max="5804" width="13.5703125" style="24" customWidth="1"/>
    <col min="5805" max="5805" width="12.140625" style="24" customWidth="1"/>
    <col min="5806" max="5806" width="10.7109375" style="24" customWidth="1"/>
    <col min="5807" max="5807" width="10.42578125" style="24" customWidth="1"/>
    <col min="5808" max="5808" width="10.5703125" style="24" customWidth="1"/>
    <col min="5809" max="5809" width="12.5703125" style="24" customWidth="1"/>
    <col min="5810" max="5810" width="12" style="24" customWidth="1"/>
    <col min="5811" max="5811" width="12.28515625" style="24" customWidth="1"/>
    <col min="5812" max="5812" width="0" style="24" hidden="1" customWidth="1"/>
    <col min="5813" max="5813" width="12.42578125" style="24" customWidth="1"/>
    <col min="5814" max="5814" width="11.28515625" style="24" customWidth="1"/>
    <col min="5815" max="5816" width="0" style="24" hidden="1" customWidth="1"/>
    <col min="5817" max="5817" width="8.85546875" style="24" bestFit="1" customWidth="1"/>
    <col min="5818" max="6055" width="11.42578125" style="24"/>
    <col min="6056" max="6056" width="5.28515625" style="24" customWidth="1"/>
    <col min="6057" max="6057" width="25.42578125" style="24" customWidth="1"/>
    <col min="6058" max="6058" width="14" style="24" customWidth="1"/>
    <col min="6059" max="6059" width="9.28515625" style="24" customWidth="1"/>
    <col min="6060" max="6060" width="13.5703125" style="24" customWidth="1"/>
    <col min="6061" max="6061" width="12.140625" style="24" customWidth="1"/>
    <col min="6062" max="6062" width="10.7109375" style="24" customWidth="1"/>
    <col min="6063" max="6063" width="10.42578125" style="24" customWidth="1"/>
    <col min="6064" max="6064" width="10.5703125" style="24" customWidth="1"/>
    <col min="6065" max="6065" width="12.5703125" style="24" customWidth="1"/>
    <col min="6066" max="6066" width="12" style="24" customWidth="1"/>
    <col min="6067" max="6067" width="12.28515625" style="24" customWidth="1"/>
    <col min="6068" max="6068" width="0" style="24" hidden="1" customWidth="1"/>
    <col min="6069" max="6069" width="12.42578125" style="24" customWidth="1"/>
    <col min="6070" max="6070" width="11.28515625" style="24" customWidth="1"/>
    <col min="6071" max="6072" width="0" style="24" hidden="1" customWidth="1"/>
    <col min="6073" max="6073" width="8.85546875" style="24" bestFit="1" customWidth="1"/>
    <col min="6074" max="6311" width="11.42578125" style="24"/>
    <col min="6312" max="6312" width="5.28515625" style="24" customWidth="1"/>
    <col min="6313" max="6313" width="25.42578125" style="24" customWidth="1"/>
    <col min="6314" max="6314" width="14" style="24" customWidth="1"/>
    <col min="6315" max="6315" width="9.28515625" style="24" customWidth="1"/>
    <col min="6316" max="6316" width="13.5703125" style="24" customWidth="1"/>
    <col min="6317" max="6317" width="12.140625" style="24" customWidth="1"/>
    <col min="6318" max="6318" width="10.7109375" style="24" customWidth="1"/>
    <col min="6319" max="6319" width="10.42578125" style="24" customWidth="1"/>
    <col min="6320" max="6320" width="10.5703125" style="24" customWidth="1"/>
    <col min="6321" max="6321" width="12.5703125" style="24" customWidth="1"/>
    <col min="6322" max="6322" width="12" style="24" customWidth="1"/>
    <col min="6323" max="6323" width="12.28515625" style="24" customWidth="1"/>
    <col min="6324" max="6324" width="0" style="24" hidden="1" customWidth="1"/>
    <col min="6325" max="6325" width="12.42578125" style="24" customWidth="1"/>
    <col min="6326" max="6326" width="11.28515625" style="24" customWidth="1"/>
    <col min="6327" max="6328" width="0" style="24" hidden="1" customWidth="1"/>
    <col min="6329" max="6329" width="8.85546875" style="24" bestFit="1" customWidth="1"/>
    <col min="6330" max="6567" width="11.42578125" style="24"/>
    <col min="6568" max="6568" width="5.28515625" style="24" customWidth="1"/>
    <col min="6569" max="6569" width="25.42578125" style="24" customWidth="1"/>
    <col min="6570" max="6570" width="14" style="24" customWidth="1"/>
    <col min="6571" max="6571" width="9.28515625" style="24" customWidth="1"/>
    <col min="6572" max="6572" width="13.5703125" style="24" customWidth="1"/>
    <col min="6573" max="6573" width="12.140625" style="24" customWidth="1"/>
    <col min="6574" max="6574" width="10.7109375" style="24" customWidth="1"/>
    <col min="6575" max="6575" width="10.42578125" style="24" customWidth="1"/>
    <col min="6576" max="6576" width="10.5703125" style="24" customWidth="1"/>
    <col min="6577" max="6577" width="12.5703125" style="24" customWidth="1"/>
    <col min="6578" max="6578" width="12" style="24" customWidth="1"/>
    <col min="6579" max="6579" width="12.28515625" style="24" customWidth="1"/>
    <col min="6580" max="6580" width="0" style="24" hidden="1" customWidth="1"/>
    <col min="6581" max="6581" width="12.42578125" style="24" customWidth="1"/>
    <col min="6582" max="6582" width="11.28515625" style="24" customWidth="1"/>
    <col min="6583" max="6584" width="0" style="24" hidden="1" customWidth="1"/>
    <col min="6585" max="6585" width="8.85546875" style="24" bestFit="1" customWidth="1"/>
    <col min="6586" max="6823" width="11.42578125" style="24"/>
    <col min="6824" max="6824" width="5.28515625" style="24" customWidth="1"/>
    <col min="6825" max="6825" width="25.42578125" style="24" customWidth="1"/>
    <col min="6826" max="6826" width="14" style="24" customWidth="1"/>
    <col min="6827" max="6827" width="9.28515625" style="24" customWidth="1"/>
    <col min="6828" max="6828" width="13.5703125" style="24" customWidth="1"/>
    <col min="6829" max="6829" width="12.140625" style="24" customWidth="1"/>
    <col min="6830" max="6830" width="10.7109375" style="24" customWidth="1"/>
    <col min="6831" max="6831" width="10.42578125" style="24" customWidth="1"/>
    <col min="6832" max="6832" width="10.5703125" style="24" customWidth="1"/>
    <col min="6833" max="6833" width="12.5703125" style="24" customWidth="1"/>
    <col min="6834" max="6834" width="12" style="24" customWidth="1"/>
    <col min="6835" max="6835" width="12.28515625" style="24" customWidth="1"/>
    <col min="6836" max="6836" width="0" style="24" hidden="1" customWidth="1"/>
    <col min="6837" max="6837" width="12.42578125" style="24" customWidth="1"/>
    <col min="6838" max="6838" width="11.28515625" style="24" customWidth="1"/>
    <col min="6839" max="6840" width="0" style="24" hidden="1" customWidth="1"/>
    <col min="6841" max="6841" width="8.85546875" style="24" bestFit="1" customWidth="1"/>
    <col min="6842" max="7079" width="11.42578125" style="24"/>
    <col min="7080" max="7080" width="5.28515625" style="24" customWidth="1"/>
    <col min="7081" max="7081" width="25.42578125" style="24" customWidth="1"/>
    <col min="7082" max="7082" width="14" style="24" customWidth="1"/>
    <col min="7083" max="7083" width="9.28515625" style="24" customWidth="1"/>
    <col min="7084" max="7084" width="13.5703125" style="24" customWidth="1"/>
    <col min="7085" max="7085" width="12.140625" style="24" customWidth="1"/>
    <col min="7086" max="7086" width="10.7109375" style="24" customWidth="1"/>
    <col min="7087" max="7087" width="10.42578125" style="24" customWidth="1"/>
    <col min="7088" max="7088" width="10.5703125" style="24" customWidth="1"/>
    <col min="7089" max="7089" width="12.5703125" style="24" customWidth="1"/>
    <col min="7090" max="7090" width="12" style="24" customWidth="1"/>
    <col min="7091" max="7091" width="12.28515625" style="24" customWidth="1"/>
    <col min="7092" max="7092" width="0" style="24" hidden="1" customWidth="1"/>
    <col min="7093" max="7093" width="12.42578125" style="24" customWidth="1"/>
    <col min="7094" max="7094" width="11.28515625" style="24" customWidth="1"/>
    <col min="7095" max="7096" width="0" style="24" hidden="1" customWidth="1"/>
    <col min="7097" max="7097" width="8.85546875" style="24" bestFit="1" customWidth="1"/>
    <col min="7098" max="7335" width="11.42578125" style="24"/>
    <col min="7336" max="7336" width="5.28515625" style="24" customWidth="1"/>
    <col min="7337" max="7337" width="25.42578125" style="24" customWidth="1"/>
    <col min="7338" max="7338" width="14" style="24" customWidth="1"/>
    <col min="7339" max="7339" width="9.28515625" style="24" customWidth="1"/>
    <col min="7340" max="7340" width="13.5703125" style="24" customWidth="1"/>
    <col min="7341" max="7341" width="12.140625" style="24" customWidth="1"/>
    <col min="7342" max="7342" width="10.7109375" style="24" customWidth="1"/>
    <col min="7343" max="7343" width="10.42578125" style="24" customWidth="1"/>
    <col min="7344" max="7344" width="10.5703125" style="24" customWidth="1"/>
    <col min="7345" max="7345" width="12.5703125" style="24" customWidth="1"/>
    <col min="7346" max="7346" width="12" style="24" customWidth="1"/>
    <col min="7347" max="7347" width="12.28515625" style="24" customWidth="1"/>
    <col min="7348" max="7348" width="0" style="24" hidden="1" customWidth="1"/>
    <col min="7349" max="7349" width="12.42578125" style="24" customWidth="1"/>
    <col min="7350" max="7350" width="11.28515625" style="24" customWidth="1"/>
    <col min="7351" max="7352" width="0" style="24" hidden="1" customWidth="1"/>
    <col min="7353" max="7353" width="8.85546875" style="24" bestFit="1" customWidth="1"/>
    <col min="7354" max="7591" width="11.42578125" style="24"/>
    <col min="7592" max="7592" width="5.28515625" style="24" customWidth="1"/>
    <col min="7593" max="7593" width="25.42578125" style="24" customWidth="1"/>
    <col min="7594" max="7594" width="14" style="24" customWidth="1"/>
    <col min="7595" max="7595" width="9.28515625" style="24" customWidth="1"/>
    <col min="7596" max="7596" width="13.5703125" style="24" customWidth="1"/>
    <col min="7597" max="7597" width="12.140625" style="24" customWidth="1"/>
    <col min="7598" max="7598" width="10.7109375" style="24" customWidth="1"/>
    <col min="7599" max="7599" width="10.42578125" style="24" customWidth="1"/>
    <col min="7600" max="7600" width="10.5703125" style="24" customWidth="1"/>
    <col min="7601" max="7601" width="12.5703125" style="24" customWidth="1"/>
    <col min="7602" max="7602" width="12" style="24" customWidth="1"/>
    <col min="7603" max="7603" width="12.28515625" style="24" customWidth="1"/>
    <col min="7604" max="7604" width="0" style="24" hidden="1" customWidth="1"/>
    <col min="7605" max="7605" width="12.42578125" style="24" customWidth="1"/>
    <col min="7606" max="7606" width="11.28515625" style="24" customWidth="1"/>
    <col min="7607" max="7608" width="0" style="24" hidden="1" customWidth="1"/>
    <col min="7609" max="7609" width="8.85546875" style="24" bestFit="1" customWidth="1"/>
    <col min="7610" max="7847" width="11.42578125" style="24"/>
    <col min="7848" max="7848" width="5.28515625" style="24" customWidth="1"/>
    <col min="7849" max="7849" width="25.42578125" style="24" customWidth="1"/>
    <col min="7850" max="7850" width="14" style="24" customWidth="1"/>
    <col min="7851" max="7851" width="9.28515625" style="24" customWidth="1"/>
    <col min="7852" max="7852" width="13.5703125" style="24" customWidth="1"/>
    <col min="7853" max="7853" width="12.140625" style="24" customWidth="1"/>
    <col min="7854" max="7854" width="10.7109375" style="24" customWidth="1"/>
    <col min="7855" max="7855" width="10.42578125" style="24" customWidth="1"/>
    <col min="7856" max="7856" width="10.5703125" style="24" customWidth="1"/>
    <col min="7857" max="7857" width="12.5703125" style="24" customWidth="1"/>
    <col min="7858" max="7858" width="12" style="24" customWidth="1"/>
    <col min="7859" max="7859" width="12.28515625" style="24" customWidth="1"/>
    <col min="7860" max="7860" width="0" style="24" hidden="1" customWidth="1"/>
    <col min="7861" max="7861" width="12.42578125" style="24" customWidth="1"/>
    <col min="7862" max="7862" width="11.28515625" style="24" customWidth="1"/>
    <col min="7863" max="7864" width="0" style="24" hidden="1" customWidth="1"/>
    <col min="7865" max="7865" width="8.85546875" style="24" bestFit="1" customWidth="1"/>
    <col min="7866" max="8103" width="11.42578125" style="24"/>
    <col min="8104" max="8104" width="5.28515625" style="24" customWidth="1"/>
    <col min="8105" max="8105" width="25.42578125" style="24" customWidth="1"/>
    <col min="8106" max="8106" width="14" style="24" customWidth="1"/>
    <col min="8107" max="8107" width="9.28515625" style="24" customWidth="1"/>
    <col min="8108" max="8108" width="13.5703125" style="24" customWidth="1"/>
    <col min="8109" max="8109" width="12.140625" style="24" customWidth="1"/>
    <col min="8110" max="8110" width="10.7109375" style="24" customWidth="1"/>
    <col min="8111" max="8111" width="10.42578125" style="24" customWidth="1"/>
    <col min="8112" max="8112" width="10.5703125" style="24" customWidth="1"/>
    <col min="8113" max="8113" width="12.5703125" style="24" customWidth="1"/>
    <col min="8114" max="8114" width="12" style="24" customWidth="1"/>
    <col min="8115" max="8115" width="12.28515625" style="24" customWidth="1"/>
    <col min="8116" max="8116" width="0" style="24" hidden="1" customWidth="1"/>
    <col min="8117" max="8117" width="12.42578125" style="24" customWidth="1"/>
    <col min="8118" max="8118" width="11.28515625" style="24" customWidth="1"/>
    <col min="8119" max="8120" width="0" style="24" hidden="1" customWidth="1"/>
    <col min="8121" max="8121" width="8.85546875" style="24" bestFit="1" customWidth="1"/>
    <col min="8122" max="8359" width="11.42578125" style="24"/>
    <col min="8360" max="8360" width="5.28515625" style="24" customWidth="1"/>
    <col min="8361" max="8361" width="25.42578125" style="24" customWidth="1"/>
    <col min="8362" max="8362" width="14" style="24" customWidth="1"/>
    <col min="8363" max="8363" width="9.28515625" style="24" customWidth="1"/>
    <col min="8364" max="8364" width="13.5703125" style="24" customWidth="1"/>
    <col min="8365" max="8365" width="12.140625" style="24" customWidth="1"/>
    <col min="8366" max="8366" width="10.7109375" style="24" customWidth="1"/>
    <col min="8367" max="8367" width="10.42578125" style="24" customWidth="1"/>
    <col min="8368" max="8368" width="10.5703125" style="24" customWidth="1"/>
    <col min="8369" max="8369" width="12.5703125" style="24" customWidth="1"/>
    <col min="8370" max="8370" width="12" style="24" customWidth="1"/>
    <col min="8371" max="8371" width="12.28515625" style="24" customWidth="1"/>
    <col min="8372" max="8372" width="0" style="24" hidden="1" customWidth="1"/>
    <col min="8373" max="8373" width="12.42578125" style="24" customWidth="1"/>
    <col min="8374" max="8374" width="11.28515625" style="24" customWidth="1"/>
    <col min="8375" max="8376" width="0" style="24" hidden="1" customWidth="1"/>
    <col min="8377" max="8377" width="8.85546875" style="24" bestFit="1" customWidth="1"/>
    <col min="8378" max="8615" width="11.42578125" style="24"/>
    <col min="8616" max="8616" width="5.28515625" style="24" customWidth="1"/>
    <col min="8617" max="8617" width="25.42578125" style="24" customWidth="1"/>
    <col min="8618" max="8618" width="14" style="24" customWidth="1"/>
    <col min="8619" max="8619" width="9.28515625" style="24" customWidth="1"/>
    <col min="8620" max="8620" width="13.5703125" style="24" customWidth="1"/>
    <col min="8621" max="8621" width="12.140625" style="24" customWidth="1"/>
    <col min="8622" max="8622" width="10.7109375" style="24" customWidth="1"/>
    <col min="8623" max="8623" width="10.42578125" style="24" customWidth="1"/>
    <col min="8624" max="8624" width="10.5703125" style="24" customWidth="1"/>
    <col min="8625" max="8625" width="12.5703125" style="24" customWidth="1"/>
    <col min="8626" max="8626" width="12" style="24" customWidth="1"/>
    <col min="8627" max="8627" width="12.28515625" style="24" customWidth="1"/>
    <col min="8628" max="8628" width="0" style="24" hidden="1" customWidth="1"/>
    <col min="8629" max="8629" width="12.42578125" style="24" customWidth="1"/>
    <col min="8630" max="8630" width="11.28515625" style="24" customWidth="1"/>
    <col min="8631" max="8632" width="0" style="24" hidden="1" customWidth="1"/>
    <col min="8633" max="8633" width="8.85546875" style="24" bestFit="1" customWidth="1"/>
    <col min="8634" max="8871" width="11.42578125" style="24"/>
    <col min="8872" max="8872" width="5.28515625" style="24" customWidth="1"/>
    <col min="8873" max="8873" width="25.42578125" style="24" customWidth="1"/>
    <col min="8874" max="8874" width="14" style="24" customWidth="1"/>
    <col min="8875" max="8875" width="9.28515625" style="24" customWidth="1"/>
    <col min="8876" max="8876" width="13.5703125" style="24" customWidth="1"/>
    <col min="8877" max="8877" width="12.140625" style="24" customWidth="1"/>
    <col min="8878" max="8878" width="10.7109375" style="24" customWidth="1"/>
    <col min="8879" max="8879" width="10.42578125" style="24" customWidth="1"/>
    <col min="8880" max="8880" width="10.5703125" style="24" customWidth="1"/>
    <col min="8881" max="8881" width="12.5703125" style="24" customWidth="1"/>
    <col min="8882" max="8882" width="12" style="24" customWidth="1"/>
    <col min="8883" max="8883" width="12.28515625" style="24" customWidth="1"/>
    <col min="8884" max="8884" width="0" style="24" hidden="1" customWidth="1"/>
    <col min="8885" max="8885" width="12.42578125" style="24" customWidth="1"/>
    <col min="8886" max="8886" width="11.28515625" style="24" customWidth="1"/>
    <col min="8887" max="8888" width="0" style="24" hidden="1" customWidth="1"/>
    <col min="8889" max="8889" width="8.85546875" style="24" bestFit="1" customWidth="1"/>
    <col min="8890" max="9127" width="11.42578125" style="24"/>
    <col min="9128" max="9128" width="5.28515625" style="24" customWidth="1"/>
    <col min="9129" max="9129" width="25.42578125" style="24" customWidth="1"/>
    <col min="9130" max="9130" width="14" style="24" customWidth="1"/>
    <col min="9131" max="9131" width="9.28515625" style="24" customWidth="1"/>
    <col min="9132" max="9132" width="13.5703125" style="24" customWidth="1"/>
    <col min="9133" max="9133" width="12.140625" style="24" customWidth="1"/>
    <col min="9134" max="9134" width="10.7109375" style="24" customWidth="1"/>
    <col min="9135" max="9135" width="10.42578125" style="24" customWidth="1"/>
    <col min="9136" max="9136" width="10.5703125" style="24" customWidth="1"/>
    <col min="9137" max="9137" width="12.5703125" style="24" customWidth="1"/>
    <col min="9138" max="9138" width="12" style="24" customWidth="1"/>
    <col min="9139" max="9139" width="12.28515625" style="24" customWidth="1"/>
    <col min="9140" max="9140" width="0" style="24" hidden="1" customWidth="1"/>
    <col min="9141" max="9141" width="12.42578125" style="24" customWidth="1"/>
    <col min="9142" max="9142" width="11.28515625" style="24" customWidth="1"/>
    <col min="9143" max="9144" width="0" style="24" hidden="1" customWidth="1"/>
    <col min="9145" max="9145" width="8.85546875" style="24" bestFit="1" customWidth="1"/>
    <col min="9146" max="9383" width="11.42578125" style="24"/>
    <col min="9384" max="9384" width="5.28515625" style="24" customWidth="1"/>
    <col min="9385" max="9385" width="25.42578125" style="24" customWidth="1"/>
    <col min="9386" max="9386" width="14" style="24" customWidth="1"/>
    <col min="9387" max="9387" width="9.28515625" style="24" customWidth="1"/>
    <col min="9388" max="9388" width="13.5703125" style="24" customWidth="1"/>
    <col min="9389" max="9389" width="12.140625" style="24" customWidth="1"/>
    <col min="9390" max="9390" width="10.7109375" style="24" customWidth="1"/>
    <col min="9391" max="9391" width="10.42578125" style="24" customWidth="1"/>
    <col min="9392" max="9392" width="10.5703125" style="24" customWidth="1"/>
    <col min="9393" max="9393" width="12.5703125" style="24" customWidth="1"/>
    <col min="9394" max="9394" width="12" style="24" customWidth="1"/>
    <col min="9395" max="9395" width="12.28515625" style="24" customWidth="1"/>
    <col min="9396" max="9396" width="0" style="24" hidden="1" customWidth="1"/>
    <col min="9397" max="9397" width="12.42578125" style="24" customWidth="1"/>
    <col min="9398" max="9398" width="11.28515625" style="24" customWidth="1"/>
    <col min="9399" max="9400" width="0" style="24" hidden="1" customWidth="1"/>
    <col min="9401" max="9401" width="8.85546875" style="24" bestFit="1" customWidth="1"/>
    <col min="9402" max="9639" width="11.42578125" style="24"/>
    <col min="9640" max="9640" width="5.28515625" style="24" customWidth="1"/>
    <col min="9641" max="9641" width="25.42578125" style="24" customWidth="1"/>
    <col min="9642" max="9642" width="14" style="24" customWidth="1"/>
    <col min="9643" max="9643" width="9.28515625" style="24" customWidth="1"/>
    <col min="9644" max="9644" width="13.5703125" style="24" customWidth="1"/>
    <col min="9645" max="9645" width="12.140625" style="24" customWidth="1"/>
    <col min="9646" max="9646" width="10.7109375" style="24" customWidth="1"/>
    <col min="9647" max="9647" width="10.42578125" style="24" customWidth="1"/>
    <col min="9648" max="9648" width="10.5703125" style="24" customWidth="1"/>
    <col min="9649" max="9649" width="12.5703125" style="24" customWidth="1"/>
    <col min="9650" max="9650" width="12" style="24" customWidth="1"/>
    <col min="9651" max="9651" width="12.28515625" style="24" customWidth="1"/>
    <col min="9652" max="9652" width="0" style="24" hidden="1" customWidth="1"/>
    <col min="9653" max="9653" width="12.42578125" style="24" customWidth="1"/>
    <col min="9654" max="9654" width="11.28515625" style="24" customWidth="1"/>
    <col min="9655" max="9656" width="0" style="24" hidden="1" customWidth="1"/>
    <col min="9657" max="9657" width="8.85546875" style="24" bestFit="1" customWidth="1"/>
    <col min="9658" max="9895" width="11.42578125" style="24"/>
    <col min="9896" max="9896" width="5.28515625" style="24" customWidth="1"/>
    <col min="9897" max="9897" width="25.42578125" style="24" customWidth="1"/>
    <col min="9898" max="9898" width="14" style="24" customWidth="1"/>
    <col min="9899" max="9899" width="9.28515625" style="24" customWidth="1"/>
    <col min="9900" max="9900" width="13.5703125" style="24" customWidth="1"/>
    <col min="9901" max="9901" width="12.140625" style="24" customWidth="1"/>
    <col min="9902" max="9902" width="10.7109375" style="24" customWidth="1"/>
    <col min="9903" max="9903" width="10.42578125" style="24" customWidth="1"/>
    <col min="9904" max="9904" width="10.5703125" style="24" customWidth="1"/>
    <col min="9905" max="9905" width="12.5703125" style="24" customWidth="1"/>
    <col min="9906" max="9906" width="12" style="24" customWidth="1"/>
    <col min="9907" max="9907" width="12.28515625" style="24" customWidth="1"/>
    <col min="9908" max="9908" width="0" style="24" hidden="1" customWidth="1"/>
    <col min="9909" max="9909" width="12.42578125" style="24" customWidth="1"/>
    <col min="9910" max="9910" width="11.28515625" style="24" customWidth="1"/>
    <col min="9911" max="9912" width="0" style="24" hidden="1" customWidth="1"/>
    <col min="9913" max="9913" width="8.85546875" style="24" bestFit="1" customWidth="1"/>
    <col min="9914" max="10151" width="11.42578125" style="24"/>
    <col min="10152" max="10152" width="5.28515625" style="24" customWidth="1"/>
    <col min="10153" max="10153" width="25.42578125" style="24" customWidth="1"/>
    <col min="10154" max="10154" width="14" style="24" customWidth="1"/>
    <col min="10155" max="10155" width="9.28515625" style="24" customWidth="1"/>
    <col min="10156" max="10156" width="13.5703125" style="24" customWidth="1"/>
    <col min="10157" max="10157" width="12.140625" style="24" customWidth="1"/>
    <col min="10158" max="10158" width="10.7109375" style="24" customWidth="1"/>
    <col min="10159" max="10159" width="10.42578125" style="24" customWidth="1"/>
    <col min="10160" max="10160" width="10.5703125" style="24" customWidth="1"/>
    <col min="10161" max="10161" width="12.5703125" style="24" customWidth="1"/>
    <col min="10162" max="10162" width="12" style="24" customWidth="1"/>
    <col min="10163" max="10163" width="12.28515625" style="24" customWidth="1"/>
    <col min="10164" max="10164" width="0" style="24" hidden="1" customWidth="1"/>
    <col min="10165" max="10165" width="12.42578125" style="24" customWidth="1"/>
    <col min="10166" max="10166" width="11.28515625" style="24" customWidth="1"/>
    <col min="10167" max="10168" width="0" style="24" hidden="1" customWidth="1"/>
    <col min="10169" max="10169" width="8.85546875" style="24" bestFit="1" customWidth="1"/>
    <col min="10170" max="10407" width="11.42578125" style="24"/>
    <col min="10408" max="10408" width="5.28515625" style="24" customWidth="1"/>
    <col min="10409" max="10409" width="25.42578125" style="24" customWidth="1"/>
    <col min="10410" max="10410" width="14" style="24" customWidth="1"/>
    <col min="10411" max="10411" width="9.28515625" style="24" customWidth="1"/>
    <col min="10412" max="10412" width="13.5703125" style="24" customWidth="1"/>
    <col min="10413" max="10413" width="12.140625" style="24" customWidth="1"/>
    <col min="10414" max="10414" width="10.7109375" style="24" customWidth="1"/>
    <col min="10415" max="10415" width="10.42578125" style="24" customWidth="1"/>
    <col min="10416" max="10416" width="10.5703125" style="24" customWidth="1"/>
    <col min="10417" max="10417" width="12.5703125" style="24" customWidth="1"/>
    <col min="10418" max="10418" width="12" style="24" customWidth="1"/>
    <col min="10419" max="10419" width="12.28515625" style="24" customWidth="1"/>
    <col min="10420" max="10420" width="0" style="24" hidden="1" customWidth="1"/>
    <col min="10421" max="10421" width="12.42578125" style="24" customWidth="1"/>
    <col min="10422" max="10422" width="11.28515625" style="24" customWidth="1"/>
    <col min="10423" max="10424" width="0" style="24" hidden="1" customWidth="1"/>
    <col min="10425" max="10425" width="8.85546875" style="24" bestFit="1" customWidth="1"/>
    <col min="10426" max="10663" width="11.42578125" style="24"/>
    <col min="10664" max="10664" width="5.28515625" style="24" customWidth="1"/>
    <col min="10665" max="10665" width="25.42578125" style="24" customWidth="1"/>
    <col min="10666" max="10666" width="14" style="24" customWidth="1"/>
    <col min="10667" max="10667" width="9.28515625" style="24" customWidth="1"/>
    <col min="10668" max="10668" width="13.5703125" style="24" customWidth="1"/>
    <col min="10669" max="10669" width="12.140625" style="24" customWidth="1"/>
    <col min="10670" max="10670" width="10.7109375" style="24" customWidth="1"/>
    <col min="10671" max="10671" width="10.42578125" style="24" customWidth="1"/>
    <col min="10672" max="10672" width="10.5703125" style="24" customWidth="1"/>
    <col min="10673" max="10673" width="12.5703125" style="24" customWidth="1"/>
    <col min="10674" max="10674" width="12" style="24" customWidth="1"/>
    <col min="10675" max="10675" width="12.28515625" style="24" customWidth="1"/>
    <col min="10676" max="10676" width="0" style="24" hidden="1" customWidth="1"/>
    <col min="10677" max="10677" width="12.42578125" style="24" customWidth="1"/>
    <col min="10678" max="10678" width="11.28515625" style="24" customWidth="1"/>
    <col min="10679" max="10680" width="0" style="24" hidden="1" customWidth="1"/>
    <col min="10681" max="10681" width="8.85546875" style="24" bestFit="1" customWidth="1"/>
    <col min="10682" max="10919" width="11.42578125" style="24"/>
    <col min="10920" max="10920" width="5.28515625" style="24" customWidth="1"/>
    <col min="10921" max="10921" width="25.42578125" style="24" customWidth="1"/>
    <col min="10922" max="10922" width="14" style="24" customWidth="1"/>
    <col min="10923" max="10923" width="9.28515625" style="24" customWidth="1"/>
    <col min="10924" max="10924" width="13.5703125" style="24" customWidth="1"/>
    <col min="10925" max="10925" width="12.140625" style="24" customWidth="1"/>
    <col min="10926" max="10926" width="10.7109375" style="24" customWidth="1"/>
    <col min="10927" max="10927" width="10.42578125" style="24" customWidth="1"/>
    <col min="10928" max="10928" width="10.5703125" style="24" customWidth="1"/>
    <col min="10929" max="10929" width="12.5703125" style="24" customWidth="1"/>
    <col min="10930" max="10930" width="12" style="24" customWidth="1"/>
    <col min="10931" max="10931" width="12.28515625" style="24" customWidth="1"/>
    <col min="10932" max="10932" width="0" style="24" hidden="1" customWidth="1"/>
    <col min="10933" max="10933" width="12.42578125" style="24" customWidth="1"/>
    <col min="10934" max="10934" width="11.28515625" style="24" customWidth="1"/>
    <col min="10935" max="10936" width="0" style="24" hidden="1" customWidth="1"/>
    <col min="10937" max="10937" width="8.85546875" style="24" bestFit="1" customWidth="1"/>
    <col min="10938" max="11175" width="11.42578125" style="24"/>
    <col min="11176" max="11176" width="5.28515625" style="24" customWidth="1"/>
    <col min="11177" max="11177" width="25.42578125" style="24" customWidth="1"/>
    <col min="11178" max="11178" width="14" style="24" customWidth="1"/>
    <col min="11179" max="11179" width="9.28515625" style="24" customWidth="1"/>
    <col min="11180" max="11180" width="13.5703125" style="24" customWidth="1"/>
    <col min="11181" max="11181" width="12.140625" style="24" customWidth="1"/>
    <col min="11182" max="11182" width="10.7109375" style="24" customWidth="1"/>
    <col min="11183" max="11183" width="10.42578125" style="24" customWidth="1"/>
    <col min="11184" max="11184" width="10.5703125" style="24" customWidth="1"/>
    <col min="11185" max="11185" width="12.5703125" style="24" customWidth="1"/>
    <col min="11186" max="11186" width="12" style="24" customWidth="1"/>
    <col min="11187" max="11187" width="12.28515625" style="24" customWidth="1"/>
    <col min="11188" max="11188" width="0" style="24" hidden="1" customWidth="1"/>
    <col min="11189" max="11189" width="12.42578125" style="24" customWidth="1"/>
    <col min="11190" max="11190" width="11.28515625" style="24" customWidth="1"/>
    <col min="11191" max="11192" width="0" style="24" hidden="1" customWidth="1"/>
    <col min="11193" max="11193" width="8.85546875" style="24" bestFit="1" customWidth="1"/>
    <col min="11194" max="11431" width="11.42578125" style="24"/>
    <col min="11432" max="11432" width="5.28515625" style="24" customWidth="1"/>
    <col min="11433" max="11433" width="25.42578125" style="24" customWidth="1"/>
    <col min="11434" max="11434" width="14" style="24" customWidth="1"/>
    <col min="11435" max="11435" width="9.28515625" style="24" customWidth="1"/>
    <col min="11436" max="11436" width="13.5703125" style="24" customWidth="1"/>
    <col min="11437" max="11437" width="12.140625" style="24" customWidth="1"/>
    <col min="11438" max="11438" width="10.7109375" style="24" customWidth="1"/>
    <col min="11439" max="11439" width="10.42578125" style="24" customWidth="1"/>
    <col min="11440" max="11440" width="10.5703125" style="24" customWidth="1"/>
    <col min="11441" max="11441" width="12.5703125" style="24" customWidth="1"/>
    <col min="11442" max="11442" width="12" style="24" customWidth="1"/>
    <col min="11443" max="11443" width="12.28515625" style="24" customWidth="1"/>
    <col min="11444" max="11444" width="0" style="24" hidden="1" customWidth="1"/>
    <col min="11445" max="11445" width="12.42578125" style="24" customWidth="1"/>
    <col min="11446" max="11446" width="11.28515625" style="24" customWidth="1"/>
    <col min="11447" max="11448" width="0" style="24" hidden="1" customWidth="1"/>
    <col min="11449" max="11449" width="8.85546875" style="24" bestFit="1" customWidth="1"/>
    <col min="11450" max="11687" width="11.42578125" style="24"/>
    <col min="11688" max="11688" width="5.28515625" style="24" customWidth="1"/>
    <col min="11689" max="11689" width="25.42578125" style="24" customWidth="1"/>
    <col min="11690" max="11690" width="14" style="24" customWidth="1"/>
    <col min="11691" max="11691" width="9.28515625" style="24" customWidth="1"/>
    <col min="11692" max="11692" width="13.5703125" style="24" customWidth="1"/>
    <col min="11693" max="11693" width="12.140625" style="24" customWidth="1"/>
    <col min="11694" max="11694" width="10.7109375" style="24" customWidth="1"/>
    <col min="11695" max="11695" width="10.42578125" style="24" customWidth="1"/>
    <col min="11696" max="11696" width="10.5703125" style="24" customWidth="1"/>
    <col min="11697" max="11697" width="12.5703125" style="24" customWidth="1"/>
    <col min="11698" max="11698" width="12" style="24" customWidth="1"/>
    <col min="11699" max="11699" width="12.28515625" style="24" customWidth="1"/>
    <col min="11700" max="11700" width="0" style="24" hidden="1" customWidth="1"/>
    <col min="11701" max="11701" width="12.42578125" style="24" customWidth="1"/>
    <col min="11702" max="11702" width="11.28515625" style="24" customWidth="1"/>
    <col min="11703" max="11704" width="0" style="24" hidden="1" customWidth="1"/>
    <col min="11705" max="11705" width="8.85546875" style="24" bestFit="1" customWidth="1"/>
    <col min="11706" max="11943" width="11.42578125" style="24"/>
    <col min="11944" max="11944" width="5.28515625" style="24" customWidth="1"/>
    <col min="11945" max="11945" width="25.42578125" style="24" customWidth="1"/>
    <col min="11946" max="11946" width="14" style="24" customWidth="1"/>
    <col min="11947" max="11947" width="9.28515625" style="24" customWidth="1"/>
    <col min="11948" max="11948" width="13.5703125" style="24" customWidth="1"/>
    <col min="11949" max="11949" width="12.140625" style="24" customWidth="1"/>
    <col min="11950" max="11950" width="10.7109375" style="24" customWidth="1"/>
    <col min="11951" max="11951" width="10.42578125" style="24" customWidth="1"/>
    <col min="11952" max="11952" width="10.5703125" style="24" customWidth="1"/>
    <col min="11953" max="11953" width="12.5703125" style="24" customWidth="1"/>
    <col min="11954" max="11954" width="12" style="24" customWidth="1"/>
    <col min="11955" max="11955" width="12.28515625" style="24" customWidth="1"/>
    <col min="11956" max="11956" width="0" style="24" hidden="1" customWidth="1"/>
    <col min="11957" max="11957" width="12.42578125" style="24" customWidth="1"/>
    <col min="11958" max="11958" width="11.28515625" style="24" customWidth="1"/>
    <col min="11959" max="11960" width="0" style="24" hidden="1" customWidth="1"/>
    <col min="11961" max="11961" width="8.85546875" style="24" bestFit="1" customWidth="1"/>
    <col min="11962" max="12199" width="11.42578125" style="24"/>
    <col min="12200" max="12200" width="5.28515625" style="24" customWidth="1"/>
    <col min="12201" max="12201" width="25.42578125" style="24" customWidth="1"/>
    <col min="12202" max="12202" width="14" style="24" customWidth="1"/>
    <col min="12203" max="12203" width="9.28515625" style="24" customWidth="1"/>
    <col min="12204" max="12204" width="13.5703125" style="24" customWidth="1"/>
    <col min="12205" max="12205" width="12.140625" style="24" customWidth="1"/>
    <col min="12206" max="12206" width="10.7109375" style="24" customWidth="1"/>
    <col min="12207" max="12207" width="10.42578125" style="24" customWidth="1"/>
    <col min="12208" max="12208" width="10.5703125" style="24" customWidth="1"/>
    <col min="12209" max="12209" width="12.5703125" style="24" customWidth="1"/>
    <col min="12210" max="12210" width="12" style="24" customWidth="1"/>
    <col min="12211" max="12211" width="12.28515625" style="24" customWidth="1"/>
    <col min="12212" max="12212" width="0" style="24" hidden="1" customWidth="1"/>
    <col min="12213" max="12213" width="12.42578125" style="24" customWidth="1"/>
    <col min="12214" max="12214" width="11.28515625" style="24" customWidth="1"/>
    <col min="12215" max="12216" width="0" style="24" hidden="1" customWidth="1"/>
    <col min="12217" max="12217" width="8.85546875" style="24" bestFit="1" customWidth="1"/>
    <col min="12218" max="12455" width="11.42578125" style="24"/>
    <col min="12456" max="12456" width="5.28515625" style="24" customWidth="1"/>
    <col min="12457" max="12457" width="25.42578125" style="24" customWidth="1"/>
    <col min="12458" max="12458" width="14" style="24" customWidth="1"/>
    <col min="12459" max="12459" width="9.28515625" style="24" customWidth="1"/>
    <col min="12460" max="12460" width="13.5703125" style="24" customWidth="1"/>
    <col min="12461" max="12461" width="12.140625" style="24" customWidth="1"/>
    <col min="12462" max="12462" width="10.7109375" style="24" customWidth="1"/>
    <col min="12463" max="12463" width="10.42578125" style="24" customWidth="1"/>
    <col min="12464" max="12464" width="10.5703125" style="24" customWidth="1"/>
    <col min="12465" max="12465" width="12.5703125" style="24" customWidth="1"/>
    <col min="12466" max="12466" width="12" style="24" customWidth="1"/>
    <col min="12467" max="12467" width="12.28515625" style="24" customWidth="1"/>
    <col min="12468" max="12468" width="0" style="24" hidden="1" customWidth="1"/>
    <col min="12469" max="12469" width="12.42578125" style="24" customWidth="1"/>
    <col min="12470" max="12470" width="11.28515625" style="24" customWidth="1"/>
    <col min="12471" max="12472" width="0" style="24" hidden="1" customWidth="1"/>
    <col min="12473" max="12473" width="8.85546875" style="24" bestFit="1" customWidth="1"/>
    <col min="12474" max="12711" width="11.42578125" style="24"/>
    <col min="12712" max="12712" width="5.28515625" style="24" customWidth="1"/>
    <col min="12713" max="12713" width="25.42578125" style="24" customWidth="1"/>
    <col min="12714" max="12714" width="14" style="24" customWidth="1"/>
    <col min="12715" max="12715" width="9.28515625" style="24" customWidth="1"/>
    <col min="12716" max="12716" width="13.5703125" style="24" customWidth="1"/>
    <col min="12717" max="12717" width="12.140625" style="24" customWidth="1"/>
    <col min="12718" max="12718" width="10.7109375" style="24" customWidth="1"/>
    <col min="12719" max="12719" width="10.42578125" style="24" customWidth="1"/>
    <col min="12720" max="12720" width="10.5703125" style="24" customWidth="1"/>
    <col min="12721" max="12721" width="12.5703125" style="24" customWidth="1"/>
    <col min="12722" max="12722" width="12" style="24" customWidth="1"/>
    <col min="12723" max="12723" width="12.28515625" style="24" customWidth="1"/>
    <col min="12724" max="12724" width="0" style="24" hidden="1" customWidth="1"/>
    <col min="12725" max="12725" width="12.42578125" style="24" customWidth="1"/>
    <col min="12726" max="12726" width="11.28515625" style="24" customWidth="1"/>
    <col min="12727" max="12728" width="0" style="24" hidden="1" customWidth="1"/>
    <col min="12729" max="12729" width="8.85546875" style="24" bestFit="1" customWidth="1"/>
    <col min="12730" max="12967" width="11.42578125" style="24"/>
    <col min="12968" max="12968" width="5.28515625" style="24" customWidth="1"/>
    <col min="12969" max="12969" width="25.42578125" style="24" customWidth="1"/>
    <col min="12970" max="12970" width="14" style="24" customWidth="1"/>
    <col min="12971" max="12971" width="9.28515625" style="24" customWidth="1"/>
    <col min="12972" max="12972" width="13.5703125" style="24" customWidth="1"/>
    <col min="12973" max="12973" width="12.140625" style="24" customWidth="1"/>
    <col min="12974" max="12974" width="10.7109375" style="24" customWidth="1"/>
    <col min="12975" max="12975" width="10.42578125" style="24" customWidth="1"/>
    <col min="12976" max="12976" width="10.5703125" style="24" customWidth="1"/>
    <col min="12977" max="12977" width="12.5703125" style="24" customWidth="1"/>
    <col min="12978" max="12978" width="12" style="24" customWidth="1"/>
    <col min="12979" max="12979" width="12.28515625" style="24" customWidth="1"/>
    <col min="12980" max="12980" width="0" style="24" hidden="1" customWidth="1"/>
    <col min="12981" max="12981" width="12.42578125" style="24" customWidth="1"/>
    <col min="12982" max="12982" width="11.28515625" style="24" customWidth="1"/>
    <col min="12983" max="12984" width="0" style="24" hidden="1" customWidth="1"/>
    <col min="12985" max="12985" width="8.85546875" style="24" bestFit="1" customWidth="1"/>
    <col min="12986" max="13223" width="11.42578125" style="24"/>
    <col min="13224" max="13224" width="5.28515625" style="24" customWidth="1"/>
    <col min="13225" max="13225" width="25.42578125" style="24" customWidth="1"/>
    <col min="13226" max="13226" width="14" style="24" customWidth="1"/>
    <col min="13227" max="13227" width="9.28515625" style="24" customWidth="1"/>
    <col min="13228" max="13228" width="13.5703125" style="24" customWidth="1"/>
    <col min="13229" max="13229" width="12.140625" style="24" customWidth="1"/>
    <col min="13230" max="13230" width="10.7109375" style="24" customWidth="1"/>
    <col min="13231" max="13231" width="10.42578125" style="24" customWidth="1"/>
    <col min="13232" max="13232" width="10.5703125" style="24" customWidth="1"/>
    <col min="13233" max="13233" width="12.5703125" style="24" customWidth="1"/>
    <col min="13234" max="13234" width="12" style="24" customWidth="1"/>
    <col min="13235" max="13235" width="12.28515625" style="24" customWidth="1"/>
    <col min="13236" max="13236" width="0" style="24" hidden="1" customWidth="1"/>
    <col min="13237" max="13237" width="12.42578125" style="24" customWidth="1"/>
    <col min="13238" max="13238" width="11.28515625" style="24" customWidth="1"/>
    <col min="13239" max="13240" width="0" style="24" hidden="1" customWidth="1"/>
    <col min="13241" max="13241" width="8.85546875" style="24" bestFit="1" customWidth="1"/>
    <col min="13242" max="13479" width="11.42578125" style="24"/>
    <col min="13480" max="13480" width="5.28515625" style="24" customWidth="1"/>
    <col min="13481" max="13481" width="25.42578125" style="24" customWidth="1"/>
    <col min="13482" max="13482" width="14" style="24" customWidth="1"/>
    <col min="13483" max="13483" width="9.28515625" style="24" customWidth="1"/>
    <col min="13484" max="13484" width="13.5703125" style="24" customWidth="1"/>
    <col min="13485" max="13485" width="12.140625" style="24" customWidth="1"/>
    <col min="13486" max="13486" width="10.7109375" style="24" customWidth="1"/>
    <col min="13487" max="13487" width="10.42578125" style="24" customWidth="1"/>
    <col min="13488" max="13488" width="10.5703125" style="24" customWidth="1"/>
    <col min="13489" max="13489" width="12.5703125" style="24" customWidth="1"/>
    <col min="13490" max="13490" width="12" style="24" customWidth="1"/>
    <col min="13491" max="13491" width="12.28515625" style="24" customWidth="1"/>
    <col min="13492" max="13492" width="0" style="24" hidden="1" customWidth="1"/>
    <col min="13493" max="13493" width="12.42578125" style="24" customWidth="1"/>
    <col min="13494" max="13494" width="11.28515625" style="24" customWidth="1"/>
    <col min="13495" max="13496" width="0" style="24" hidden="1" customWidth="1"/>
    <col min="13497" max="13497" width="8.85546875" style="24" bestFit="1" customWidth="1"/>
    <col min="13498" max="13735" width="11.42578125" style="24"/>
    <col min="13736" max="13736" width="5.28515625" style="24" customWidth="1"/>
    <col min="13737" max="13737" width="25.42578125" style="24" customWidth="1"/>
    <col min="13738" max="13738" width="14" style="24" customWidth="1"/>
    <col min="13739" max="13739" width="9.28515625" style="24" customWidth="1"/>
    <col min="13740" max="13740" width="13.5703125" style="24" customWidth="1"/>
    <col min="13741" max="13741" width="12.140625" style="24" customWidth="1"/>
    <col min="13742" max="13742" width="10.7109375" style="24" customWidth="1"/>
    <col min="13743" max="13743" width="10.42578125" style="24" customWidth="1"/>
    <col min="13744" max="13744" width="10.5703125" style="24" customWidth="1"/>
    <col min="13745" max="13745" width="12.5703125" style="24" customWidth="1"/>
    <col min="13746" max="13746" width="12" style="24" customWidth="1"/>
    <col min="13747" max="13747" width="12.28515625" style="24" customWidth="1"/>
    <col min="13748" max="13748" width="0" style="24" hidden="1" customWidth="1"/>
    <col min="13749" max="13749" width="12.42578125" style="24" customWidth="1"/>
    <col min="13750" max="13750" width="11.28515625" style="24" customWidth="1"/>
    <col min="13751" max="13752" width="0" style="24" hidden="1" customWidth="1"/>
    <col min="13753" max="13753" width="8.85546875" style="24" bestFit="1" customWidth="1"/>
    <col min="13754" max="13991" width="11.42578125" style="24"/>
    <col min="13992" max="13992" width="5.28515625" style="24" customWidth="1"/>
    <col min="13993" max="13993" width="25.42578125" style="24" customWidth="1"/>
    <col min="13994" max="13994" width="14" style="24" customWidth="1"/>
    <col min="13995" max="13995" width="9.28515625" style="24" customWidth="1"/>
    <col min="13996" max="13996" width="13.5703125" style="24" customWidth="1"/>
    <col min="13997" max="13997" width="12.140625" style="24" customWidth="1"/>
    <col min="13998" max="13998" width="10.7109375" style="24" customWidth="1"/>
    <col min="13999" max="13999" width="10.42578125" style="24" customWidth="1"/>
    <col min="14000" max="14000" width="10.5703125" style="24" customWidth="1"/>
    <col min="14001" max="14001" width="12.5703125" style="24" customWidth="1"/>
    <col min="14002" max="14002" width="12" style="24" customWidth="1"/>
    <col min="14003" max="14003" width="12.28515625" style="24" customWidth="1"/>
    <col min="14004" max="14004" width="0" style="24" hidden="1" customWidth="1"/>
    <col min="14005" max="14005" width="12.42578125" style="24" customWidth="1"/>
    <col min="14006" max="14006" width="11.28515625" style="24" customWidth="1"/>
    <col min="14007" max="14008" width="0" style="24" hidden="1" customWidth="1"/>
    <col min="14009" max="14009" width="8.85546875" style="24" bestFit="1" customWidth="1"/>
    <col min="14010" max="14247" width="11.42578125" style="24"/>
    <col min="14248" max="14248" width="5.28515625" style="24" customWidth="1"/>
    <col min="14249" max="14249" width="25.42578125" style="24" customWidth="1"/>
    <col min="14250" max="14250" width="14" style="24" customWidth="1"/>
    <col min="14251" max="14251" width="9.28515625" style="24" customWidth="1"/>
    <col min="14252" max="14252" width="13.5703125" style="24" customWidth="1"/>
    <col min="14253" max="14253" width="12.140625" style="24" customWidth="1"/>
    <col min="14254" max="14254" width="10.7109375" style="24" customWidth="1"/>
    <col min="14255" max="14255" width="10.42578125" style="24" customWidth="1"/>
    <col min="14256" max="14256" width="10.5703125" style="24" customWidth="1"/>
    <col min="14257" max="14257" width="12.5703125" style="24" customWidth="1"/>
    <col min="14258" max="14258" width="12" style="24" customWidth="1"/>
    <col min="14259" max="14259" width="12.28515625" style="24" customWidth="1"/>
    <col min="14260" max="14260" width="0" style="24" hidden="1" customWidth="1"/>
    <col min="14261" max="14261" width="12.42578125" style="24" customWidth="1"/>
    <col min="14262" max="14262" width="11.28515625" style="24" customWidth="1"/>
    <col min="14263" max="14264" width="0" style="24" hidden="1" customWidth="1"/>
    <col min="14265" max="14265" width="8.85546875" style="24" bestFit="1" customWidth="1"/>
    <col min="14266" max="14503" width="11.42578125" style="24"/>
    <col min="14504" max="14504" width="5.28515625" style="24" customWidth="1"/>
    <col min="14505" max="14505" width="25.42578125" style="24" customWidth="1"/>
    <col min="14506" max="14506" width="14" style="24" customWidth="1"/>
    <col min="14507" max="14507" width="9.28515625" style="24" customWidth="1"/>
    <col min="14508" max="14508" width="13.5703125" style="24" customWidth="1"/>
    <col min="14509" max="14509" width="12.140625" style="24" customWidth="1"/>
    <col min="14510" max="14510" width="10.7109375" style="24" customWidth="1"/>
    <col min="14511" max="14511" width="10.42578125" style="24" customWidth="1"/>
    <col min="14512" max="14512" width="10.5703125" style="24" customWidth="1"/>
    <col min="14513" max="14513" width="12.5703125" style="24" customWidth="1"/>
    <col min="14514" max="14514" width="12" style="24" customWidth="1"/>
    <col min="14515" max="14515" width="12.28515625" style="24" customWidth="1"/>
    <col min="14516" max="14516" width="0" style="24" hidden="1" customWidth="1"/>
    <col min="14517" max="14517" width="12.42578125" style="24" customWidth="1"/>
    <col min="14518" max="14518" width="11.28515625" style="24" customWidth="1"/>
    <col min="14519" max="14520" width="0" style="24" hidden="1" customWidth="1"/>
    <col min="14521" max="14521" width="8.85546875" style="24" bestFit="1" customWidth="1"/>
    <col min="14522" max="14759" width="11.42578125" style="24"/>
    <col min="14760" max="14760" width="5.28515625" style="24" customWidth="1"/>
    <col min="14761" max="14761" width="25.42578125" style="24" customWidth="1"/>
    <col min="14762" max="14762" width="14" style="24" customWidth="1"/>
    <col min="14763" max="14763" width="9.28515625" style="24" customWidth="1"/>
    <col min="14764" max="14764" width="13.5703125" style="24" customWidth="1"/>
    <col min="14765" max="14765" width="12.140625" style="24" customWidth="1"/>
    <col min="14766" max="14766" width="10.7109375" style="24" customWidth="1"/>
    <col min="14767" max="14767" width="10.42578125" style="24" customWidth="1"/>
    <col min="14768" max="14768" width="10.5703125" style="24" customWidth="1"/>
    <col min="14769" max="14769" width="12.5703125" style="24" customWidth="1"/>
    <col min="14770" max="14770" width="12" style="24" customWidth="1"/>
    <col min="14771" max="14771" width="12.28515625" style="24" customWidth="1"/>
    <col min="14772" max="14772" width="0" style="24" hidden="1" customWidth="1"/>
    <col min="14773" max="14773" width="12.42578125" style="24" customWidth="1"/>
    <col min="14774" max="14774" width="11.28515625" style="24" customWidth="1"/>
    <col min="14775" max="14776" width="0" style="24" hidden="1" customWidth="1"/>
    <col min="14777" max="14777" width="8.85546875" style="24" bestFit="1" customWidth="1"/>
    <col min="14778" max="15015" width="11.42578125" style="24"/>
    <col min="15016" max="15016" width="5.28515625" style="24" customWidth="1"/>
    <col min="15017" max="15017" width="25.42578125" style="24" customWidth="1"/>
    <col min="15018" max="15018" width="14" style="24" customWidth="1"/>
    <col min="15019" max="15019" width="9.28515625" style="24" customWidth="1"/>
    <col min="15020" max="15020" width="13.5703125" style="24" customWidth="1"/>
    <col min="15021" max="15021" width="12.140625" style="24" customWidth="1"/>
    <col min="15022" max="15022" width="10.7109375" style="24" customWidth="1"/>
    <col min="15023" max="15023" width="10.42578125" style="24" customWidth="1"/>
    <col min="15024" max="15024" width="10.5703125" style="24" customWidth="1"/>
    <col min="15025" max="15025" width="12.5703125" style="24" customWidth="1"/>
    <col min="15026" max="15026" width="12" style="24" customWidth="1"/>
    <col min="15027" max="15027" width="12.28515625" style="24" customWidth="1"/>
    <col min="15028" max="15028" width="0" style="24" hidden="1" customWidth="1"/>
    <col min="15029" max="15029" width="12.42578125" style="24" customWidth="1"/>
    <col min="15030" max="15030" width="11.28515625" style="24" customWidth="1"/>
    <col min="15031" max="15032" width="0" style="24" hidden="1" customWidth="1"/>
    <col min="15033" max="15033" width="8.85546875" style="24" bestFit="1" customWidth="1"/>
    <col min="15034" max="15271" width="11.42578125" style="24"/>
    <col min="15272" max="15272" width="5.28515625" style="24" customWidth="1"/>
    <col min="15273" max="15273" width="25.42578125" style="24" customWidth="1"/>
    <col min="15274" max="15274" width="14" style="24" customWidth="1"/>
    <col min="15275" max="15275" width="9.28515625" style="24" customWidth="1"/>
    <col min="15276" max="15276" width="13.5703125" style="24" customWidth="1"/>
    <col min="15277" max="15277" width="12.140625" style="24" customWidth="1"/>
    <col min="15278" max="15278" width="10.7109375" style="24" customWidth="1"/>
    <col min="15279" max="15279" width="10.42578125" style="24" customWidth="1"/>
    <col min="15280" max="15280" width="10.5703125" style="24" customWidth="1"/>
    <col min="15281" max="15281" width="12.5703125" style="24" customWidth="1"/>
    <col min="15282" max="15282" width="12" style="24" customWidth="1"/>
    <col min="15283" max="15283" width="12.28515625" style="24" customWidth="1"/>
    <col min="15284" max="15284" width="0" style="24" hidden="1" customWidth="1"/>
    <col min="15285" max="15285" width="12.42578125" style="24" customWidth="1"/>
    <col min="15286" max="15286" width="11.28515625" style="24" customWidth="1"/>
    <col min="15287" max="15288" width="0" style="24" hidden="1" customWidth="1"/>
    <col min="15289" max="15289" width="8.85546875" style="24" bestFit="1" customWidth="1"/>
    <col min="15290" max="15527" width="11.42578125" style="24"/>
    <col min="15528" max="15528" width="5.28515625" style="24" customWidth="1"/>
    <col min="15529" max="15529" width="25.42578125" style="24" customWidth="1"/>
    <col min="15530" max="15530" width="14" style="24" customWidth="1"/>
    <col min="15531" max="15531" width="9.28515625" style="24" customWidth="1"/>
    <col min="15532" max="15532" width="13.5703125" style="24" customWidth="1"/>
    <col min="15533" max="15533" width="12.140625" style="24" customWidth="1"/>
    <col min="15534" max="15534" width="10.7109375" style="24" customWidth="1"/>
    <col min="15535" max="15535" width="10.42578125" style="24" customWidth="1"/>
    <col min="15536" max="15536" width="10.5703125" style="24" customWidth="1"/>
    <col min="15537" max="15537" width="12.5703125" style="24" customWidth="1"/>
    <col min="15538" max="15538" width="12" style="24" customWidth="1"/>
    <col min="15539" max="15539" width="12.28515625" style="24" customWidth="1"/>
    <col min="15540" max="15540" width="0" style="24" hidden="1" customWidth="1"/>
    <col min="15541" max="15541" width="12.42578125" style="24" customWidth="1"/>
    <col min="15542" max="15542" width="11.28515625" style="24" customWidth="1"/>
    <col min="15543" max="15544" width="0" style="24" hidden="1" customWidth="1"/>
    <col min="15545" max="15545" width="8.85546875" style="24" bestFit="1" customWidth="1"/>
    <col min="15546" max="15783" width="11.42578125" style="24"/>
    <col min="15784" max="15784" width="5.28515625" style="24" customWidth="1"/>
    <col min="15785" max="15785" width="25.42578125" style="24" customWidth="1"/>
    <col min="15786" max="15786" width="14" style="24" customWidth="1"/>
    <col min="15787" max="15787" width="9.28515625" style="24" customWidth="1"/>
    <col min="15788" max="15788" width="13.5703125" style="24" customWidth="1"/>
    <col min="15789" max="15789" width="12.140625" style="24" customWidth="1"/>
    <col min="15790" max="15790" width="10.7109375" style="24" customWidth="1"/>
    <col min="15791" max="15791" width="10.42578125" style="24" customWidth="1"/>
    <col min="15792" max="15792" width="10.5703125" style="24" customWidth="1"/>
    <col min="15793" max="15793" width="12.5703125" style="24" customWidth="1"/>
    <col min="15794" max="15794" width="12" style="24" customWidth="1"/>
    <col min="15795" max="15795" width="12.28515625" style="24" customWidth="1"/>
    <col min="15796" max="15796" width="0" style="24" hidden="1" customWidth="1"/>
    <col min="15797" max="15797" width="12.42578125" style="24" customWidth="1"/>
    <col min="15798" max="15798" width="11.28515625" style="24" customWidth="1"/>
    <col min="15799" max="15800" width="0" style="24" hidden="1" customWidth="1"/>
    <col min="15801" max="15801" width="8.85546875" style="24" bestFit="1" customWidth="1"/>
    <col min="15802" max="16039" width="11.42578125" style="24"/>
    <col min="16040" max="16040" width="5.28515625" style="24" customWidth="1"/>
    <col min="16041" max="16041" width="25.42578125" style="24" customWidth="1"/>
    <col min="16042" max="16042" width="14" style="24" customWidth="1"/>
    <col min="16043" max="16043" width="9.28515625" style="24" customWidth="1"/>
    <col min="16044" max="16044" width="13.5703125" style="24" customWidth="1"/>
    <col min="16045" max="16045" width="12.140625" style="24" customWidth="1"/>
    <col min="16046" max="16046" width="10.7109375" style="24" customWidth="1"/>
    <col min="16047" max="16047" width="10.42578125" style="24" customWidth="1"/>
    <col min="16048" max="16048" width="10.5703125" style="24" customWidth="1"/>
    <col min="16049" max="16049" width="12.5703125" style="24" customWidth="1"/>
    <col min="16050" max="16050" width="12" style="24" customWidth="1"/>
    <col min="16051" max="16051" width="12.28515625" style="24" customWidth="1"/>
    <col min="16052" max="16052" width="0" style="24" hidden="1" customWidth="1"/>
    <col min="16053" max="16053" width="12.42578125" style="24" customWidth="1"/>
    <col min="16054" max="16054" width="11.28515625" style="24" customWidth="1"/>
    <col min="16055" max="16056" width="0" style="24" hidden="1" customWidth="1"/>
    <col min="16057" max="16057" width="8.85546875" style="24" bestFit="1" customWidth="1"/>
    <col min="16058" max="16384" width="11.42578125" style="24"/>
  </cols>
  <sheetData>
    <row r="1" spans="2:21" s="22" customFormat="1" ht="29.45" customHeight="1" x14ac:dyDescent="0.2">
      <c r="B1" s="223" t="s">
        <v>2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2:21" s="22" customFormat="1" ht="21" customHeight="1" x14ac:dyDescent="0.2">
      <c r="B2" s="224" t="s">
        <v>139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</row>
    <row r="3" spans="2:21" s="22" customFormat="1" ht="21" customHeight="1" x14ac:dyDescent="0.2">
      <c r="B3" s="224" t="s">
        <v>157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</row>
    <row r="4" spans="2:21" s="22" customFormat="1" x14ac:dyDescent="0.2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37"/>
      <c r="R4" s="23"/>
      <c r="S4" s="23"/>
      <c r="T4" s="23"/>
    </row>
    <row r="5" spans="2:21" s="64" customFormat="1" ht="18" customHeight="1" x14ac:dyDescent="0.25">
      <c r="B5" s="225" t="s">
        <v>23</v>
      </c>
      <c r="C5" s="228" t="s">
        <v>24</v>
      </c>
      <c r="D5" s="228" t="s">
        <v>25</v>
      </c>
      <c r="E5" s="268" t="s">
        <v>26</v>
      </c>
      <c r="F5" s="272"/>
      <c r="G5" s="272"/>
      <c r="H5" s="272"/>
      <c r="I5" s="272"/>
      <c r="J5" s="270"/>
      <c r="K5" s="231" t="s">
        <v>136</v>
      </c>
      <c r="L5" s="232"/>
      <c r="M5" s="232"/>
      <c r="N5" s="232"/>
      <c r="O5" s="232"/>
      <c r="P5" s="232"/>
      <c r="Q5" s="232"/>
      <c r="R5" s="232"/>
      <c r="S5" s="232"/>
      <c r="T5" s="232"/>
      <c r="U5" s="233"/>
    </row>
    <row r="6" spans="2:21" s="64" customFormat="1" ht="27" customHeight="1" x14ac:dyDescent="0.25">
      <c r="B6" s="226"/>
      <c r="C6" s="229"/>
      <c r="D6" s="229"/>
      <c r="E6" s="269"/>
      <c r="F6" s="273"/>
      <c r="G6" s="273"/>
      <c r="H6" s="273"/>
      <c r="I6" s="273"/>
      <c r="J6" s="271"/>
      <c r="K6" s="228" t="s">
        <v>31</v>
      </c>
      <c r="L6" s="228" t="s">
        <v>137</v>
      </c>
      <c r="M6" s="228" t="s">
        <v>33</v>
      </c>
      <c r="N6" s="231" t="s">
        <v>131</v>
      </c>
      <c r="O6" s="232"/>
      <c r="P6" s="216" t="s">
        <v>34</v>
      </c>
      <c r="Q6" s="216" t="s">
        <v>67</v>
      </c>
      <c r="R6" s="216" t="s">
        <v>113</v>
      </c>
      <c r="S6" s="216" t="s">
        <v>38</v>
      </c>
      <c r="T6" s="216"/>
      <c r="U6" s="216" t="s">
        <v>39</v>
      </c>
    </row>
    <row r="7" spans="2:21" s="64" customFormat="1" ht="18" customHeight="1" x14ac:dyDescent="0.25">
      <c r="B7" s="226"/>
      <c r="C7" s="229"/>
      <c r="D7" s="229"/>
      <c r="E7" s="216" t="s">
        <v>71</v>
      </c>
      <c r="F7" s="216"/>
      <c r="G7" s="228" t="s">
        <v>108</v>
      </c>
      <c r="H7" s="228" t="s">
        <v>29</v>
      </c>
      <c r="I7" s="216" t="s">
        <v>30</v>
      </c>
      <c r="J7" s="216"/>
      <c r="K7" s="229"/>
      <c r="L7" s="229"/>
      <c r="M7" s="229"/>
      <c r="N7" s="268" t="s">
        <v>132</v>
      </c>
      <c r="O7" s="270" t="s">
        <v>133</v>
      </c>
      <c r="P7" s="216"/>
      <c r="Q7" s="216"/>
      <c r="R7" s="216"/>
      <c r="S7" s="216"/>
      <c r="T7" s="216"/>
      <c r="U7" s="216"/>
    </row>
    <row r="8" spans="2:21" s="64" customFormat="1" ht="18" customHeight="1" x14ac:dyDescent="0.25">
      <c r="B8" s="227"/>
      <c r="C8" s="230"/>
      <c r="D8" s="230"/>
      <c r="E8" s="158" t="s">
        <v>31</v>
      </c>
      <c r="F8" s="135" t="s">
        <v>134</v>
      </c>
      <c r="G8" s="230"/>
      <c r="H8" s="230"/>
      <c r="I8" s="158" t="s">
        <v>40</v>
      </c>
      <c r="J8" s="158" t="s">
        <v>0</v>
      </c>
      <c r="K8" s="230"/>
      <c r="L8" s="230"/>
      <c r="M8" s="230"/>
      <c r="N8" s="269"/>
      <c r="O8" s="271"/>
      <c r="P8" s="216"/>
      <c r="Q8" s="216"/>
      <c r="R8" s="216"/>
      <c r="S8" s="158" t="s">
        <v>41</v>
      </c>
      <c r="T8" s="158" t="s">
        <v>0</v>
      </c>
      <c r="U8" s="216"/>
    </row>
    <row r="9" spans="2:21" ht="28.5" customHeight="1" x14ac:dyDescent="0.2">
      <c r="B9" s="175">
        <v>1</v>
      </c>
      <c r="C9" s="36" t="s">
        <v>140</v>
      </c>
      <c r="D9" s="177" t="s">
        <v>141</v>
      </c>
      <c r="E9" s="161">
        <v>12</v>
      </c>
      <c r="F9" s="149">
        <v>12</v>
      </c>
      <c r="G9" s="161">
        <v>3</v>
      </c>
      <c r="H9" s="161">
        <v>3</v>
      </c>
      <c r="I9" s="29">
        <f>H9-G9</f>
        <v>0</v>
      </c>
      <c r="J9" s="151">
        <f>(H9/G9)-1</f>
        <v>0</v>
      </c>
      <c r="K9" s="84">
        <v>0</v>
      </c>
      <c r="L9" s="84">
        <v>0</v>
      </c>
      <c r="M9" s="84">
        <v>0</v>
      </c>
      <c r="N9" s="84">
        <v>39315.589999999997</v>
      </c>
      <c r="O9" s="84">
        <v>0</v>
      </c>
      <c r="P9" s="84">
        <f>K9+L9+N9-M9-O9</f>
        <v>39315.589999999997</v>
      </c>
      <c r="Q9" s="131">
        <v>10672</v>
      </c>
      <c r="R9" s="130">
        <v>9979</v>
      </c>
      <c r="S9" s="121">
        <f t="shared" ref="S9:S28" si="0">+Q9-R9</f>
        <v>693</v>
      </c>
      <c r="T9" s="166">
        <f t="shared" ref="T9:T29" si="1">+S9/Q9</f>
        <v>6.4936281859070466E-2</v>
      </c>
      <c r="U9" s="30" t="s">
        <v>3</v>
      </c>
    </row>
    <row r="10" spans="2:21" ht="28.5" customHeight="1" x14ac:dyDescent="0.2">
      <c r="B10" s="175">
        <f>B9+1</f>
        <v>2</v>
      </c>
      <c r="C10" s="36" t="s">
        <v>44</v>
      </c>
      <c r="D10" s="177" t="s">
        <v>86</v>
      </c>
      <c r="E10" s="161">
        <v>1211</v>
      </c>
      <c r="F10" s="161">
        <v>1126</v>
      </c>
      <c r="G10" s="161">
        <v>569</v>
      </c>
      <c r="H10" s="161">
        <v>569</v>
      </c>
      <c r="I10" s="29">
        <f>H10-G10</f>
        <v>0</v>
      </c>
      <c r="J10" s="151">
        <f t="shared" ref="J10:J28" si="2">(H10/G10)-1</f>
        <v>0</v>
      </c>
      <c r="K10" s="84">
        <v>67142</v>
      </c>
      <c r="L10" s="84">
        <v>0</v>
      </c>
      <c r="M10" s="84">
        <v>0</v>
      </c>
      <c r="N10" s="84">
        <v>0</v>
      </c>
      <c r="O10" s="84">
        <v>0</v>
      </c>
      <c r="P10" s="84">
        <f t="shared" ref="P10:P29" si="3">K10+L10+N10-M10-O10</f>
        <v>67142</v>
      </c>
      <c r="Q10" s="131">
        <v>38592</v>
      </c>
      <c r="R10" s="130">
        <v>36592</v>
      </c>
      <c r="S10" s="121">
        <f t="shared" si="0"/>
        <v>2000</v>
      </c>
      <c r="T10" s="166">
        <f t="shared" si="1"/>
        <v>5.1824212271973466E-2</v>
      </c>
      <c r="U10" s="30" t="s">
        <v>4</v>
      </c>
    </row>
    <row r="11" spans="2:21" ht="28.5" customHeight="1" x14ac:dyDescent="0.2">
      <c r="B11" s="175">
        <f t="shared" ref="B11:B28" si="4">B10+1</f>
        <v>3</v>
      </c>
      <c r="C11" s="36" t="s">
        <v>148</v>
      </c>
      <c r="D11" s="177" t="s">
        <v>87</v>
      </c>
      <c r="E11" s="68">
        <v>24</v>
      </c>
      <c r="F11" s="29">
        <v>13</v>
      </c>
      <c r="G11" s="161">
        <v>0</v>
      </c>
      <c r="H11" s="161">
        <v>0</v>
      </c>
      <c r="I11" s="29">
        <f t="shared" ref="I11:I28" si="5">H11-G11</f>
        <v>0</v>
      </c>
      <c r="J11" s="151" t="e">
        <f t="shared" si="2"/>
        <v>#DIV/0!</v>
      </c>
      <c r="K11" s="84">
        <v>117440</v>
      </c>
      <c r="L11" s="84">
        <v>0</v>
      </c>
      <c r="M11" s="84">
        <v>0</v>
      </c>
      <c r="N11" s="84">
        <v>137882</v>
      </c>
      <c r="O11" s="84">
        <v>0</v>
      </c>
      <c r="P11" s="84">
        <f t="shared" si="3"/>
        <v>255322</v>
      </c>
      <c r="Q11" s="131">
        <v>100152</v>
      </c>
      <c r="R11" s="130">
        <v>70874</v>
      </c>
      <c r="S11" s="121">
        <f t="shared" si="0"/>
        <v>29278</v>
      </c>
      <c r="T11" s="166">
        <f t="shared" si="1"/>
        <v>0.29233564981228533</v>
      </c>
      <c r="U11" s="30" t="s">
        <v>5</v>
      </c>
    </row>
    <row r="12" spans="2:21" s="34" customFormat="1" ht="28.5" customHeight="1" x14ac:dyDescent="0.2">
      <c r="B12" s="175">
        <f t="shared" si="4"/>
        <v>4</v>
      </c>
      <c r="C12" s="36" t="s">
        <v>121</v>
      </c>
      <c r="D12" s="178" t="s">
        <v>125</v>
      </c>
      <c r="E12" s="65">
        <v>1</v>
      </c>
      <c r="F12" s="29">
        <v>1</v>
      </c>
      <c r="G12" s="161">
        <v>1</v>
      </c>
      <c r="H12" s="161">
        <v>1</v>
      </c>
      <c r="I12" s="29">
        <f t="shared" si="5"/>
        <v>0</v>
      </c>
      <c r="J12" s="151">
        <f t="shared" si="2"/>
        <v>0</v>
      </c>
      <c r="K12" s="84">
        <v>18044</v>
      </c>
      <c r="L12" s="84">
        <v>0</v>
      </c>
      <c r="M12" s="84">
        <v>0</v>
      </c>
      <c r="N12" s="84">
        <v>0</v>
      </c>
      <c r="O12" s="84">
        <v>0</v>
      </c>
      <c r="P12" s="84">
        <f t="shared" si="3"/>
        <v>18044</v>
      </c>
      <c r="Q12" s="131">
        <v>15080</v>
      </c>
      <c r="R12" s="130">
        <v>6426</v>
      </c>
      <c r="S12" s="121">
        <f t="shared" si="0"/>
        <v>8654</v>
      </c>
      <c r="T12" s="166">
        <f t="shared" si="1"/>
        <v>0.57387267904509287</v>
      </c>
      <c r="U12" s="30" t="s">
        <v>6</v>
      </c>
    </row>
    <row r="13" spans="2:21" ht="28.5" customHeight="1" x14ac:dyDescent="0.2">
      <c r="B13" s="175">
        <f t="shared" si="4"/>
        <v>5</v>
      </c>
      <c r="C13" s="36" t="s">
        <v>47</v>
      </c>
      <c r="D13" s="177" t="s">
        <v>43</v>
      </c>
      <c r="E13" s="68">
        <v>8</v>
      </c>
      <c r="F13" s="29">
        <v>4</v>
      </c>
      <c r="G13" s="161">
        <v>1</v>
      </c>
      <c r="H13" s="161">
        <v>1</v>
      </c>
      <c r="I13" s="29">
        <f t="shared" si="5"/>
        <v>0</v>
      </c>
      <c r="J13" s="151">
        <f t="shared" si="2"/>
        <v>0</v>
      </c>
      <c r="K13" s="84">
        <v>43814</v>
      </c>
      <c r="L13" s="84">
        <v>0</v>
      </c>
      <c r="M13" s="84">
        <v>0</v>
      </c>
      <c r="N13" s="84">
        <v>15999</v>
      </c>
      <c r="O13" s="84">
        <v>0</v>
      </c>
      <c r="P13" s="84">
        <f t="shared" si="3"/>
        <v>59813</v>
      </c>
      <c r="Q13" s="131">
        <v>48032</v>
      </c>
      <c r="R13" s="130">
        <v>32438</v>
      </c>
      <c r="S13" s="121">
        <f t="shared" si="0"/>
        <v>15594</v>
      </c>
      <c r="T13" s="166">
        <f t="shared" si="1"/>
        <v>0.32465856095936041</v>
      </c>
      <c r="U13" s="30" t="s">
        <v>7</v>
      </c>
    </row>
    <row r="14" spans="2:21" ht="28.5" customHeight="1" x14ac:dyDescent="0.2">
      <c r="B14" s="175">
        <f t="shared" si="4"/>
        <v>6</v>
      </c>
      <c r="C14" s="36" t="s">
        <v>149</v>
      </c>
      <c r="D14" s="177" t="s">
        <v>49</v>
      </c>
      <c r="E14" s="161">
        <v>3998</v>
      </c>
      <c r="F14" s="161">
        <v>3200</v>
      </c>
      <c r="G14" s="161">
        <v>3199</v>
      </c>
      <c r="H14" s="161">
        <v>3199</v>
      </c>
      <c r="I14" s="29">
        <f t="shared" si="5"/>
        <v>0</v>
      </c>
      <c r="J14" s="151">
        <f t="shared" si="2"/>
        <v>0</v>
      </c>
      <c r="K14" s="84">
        <v>885549.78830000013</v>
      </c>
      <c r="L14" s="84">
        <v>0</v>
      </c>
      <c r="M14" s="84">
        <v>0</v>
      </c>
      <c r="N14" s="84">
        <v>57030.400000000001</v>
      </c>
      <c r="O14" s="84">
        <v>0</v>
      </c>
      <c r="P14" s="84">
        <f t="shared" si="3"/>
        <v>942580.18830000015</v>
      </c>
      <c r="Q14" s="131">
        <v>470195</v>
      </c>
      <c r="R14" s="130">
        <v>305910</v>
      </c>
      <c r="S14" s="121">
        <f t="shared" si="0"/>
        <v>164285</v>
      </c>
      <c r="T14" s="166">
        <f t="shared" si="1"/>
        <v>0.3493975903614458</v>
      </c>
      <c r="U14" s="30" t="s">
        <v>8</v>
      </c>
    </row>
    <row r="15" spans="2:21" s="34" customFormat="1" ht="28.5" customHeight="1" x14ac:dyDescent="0.2">
      <c r="B15" s="175">
        <f t="shared" si="4"/>
        <v>7</v>
      </c>
      <c r="C15" s="36" t="s">
        <v>74</v>
      </c>
      <c r="D15" s="178" t="s">
        <v>90</v>
      </c>
      <c r="E15" s="160">
        <v>806</v>
      </c>
      <c r="F15" s="160">
        <v>806</v>
      </c>
      <c r="G15" s="161">
        <v>363</v>
      </c>
      <c r="H15" s="161">
        <v>363</v>
      </c>
      <c r="I15" s="29">
        <f t="shared" si="5"/>
        <v>0</v>
      </c>
      <c r="J15" s="151">
        <f t="shared" si="2"/>
        <v>0</v>
      </c>
      <c r="K15" s="84">
        <v>35276.400000000001</v>
      </c>
      <c r="L15" s="84">
        <v>0</v>
      </c>
      <c r="M15" s="84">
        <v>0</v>
      </c>
      <c r="N15" s="84">
        <v>8000</v>
      </c>
      <c r="O15" s="84">
        <v>10216.4</v>
      </c>
      <c r="P15" s="84">
        <f t="shared" si="3"/>
        <v>33060</v>
      </c>
      <c r="Q15" s="131">
        <v>13518</v>
      </c>
      <c r="R15" s="130">
        <v>10676</v>
      </c>
      <c r="S15" s="121">
        <f t="shared" si="0"/>
        <v>2842</v>
      </c>
      <c r="T15" s="166">
        <f t="shared" si="1"/>
        <v>0.21023820091729545</v>
      </c>
      <c r="U15" s="30" t="s">
        <v>9</v>
      </c>
    </row>
    <row r="16" spans="2:21" s="34" customFormat="1" ht="28.5" customHeight="1" x14ac:dyDescent="0.2">
      <c r="B16" s="175">
        <f t="shared" si="4"/>
        <v>8</v>
      </c>
      <c r="C16" s="36" t="s">
        <v>52</v>
      </c>
      <c r="D16" s="177" t="s">
        <v>117</v>
      </c>
      <c r="E16" s="161">
        <v>9700</v>
      </c>
      <c r="F16" s="149">
        <v>9500</v>
      </c>
      <c r="G16" s="161">
        <v>3369</v>
      </c>
      <c r="H16" s="161">
        <v>3369</v>
      </c>
      <c r="I16" s="29">
        <f t="shared" si="5"/>
        <v>0</v>
      </c>
      <c r="J16" s="151">
        <f t="shared" si="2"/>
        <v>0</v>
      </c>
      <c r="K16" s="84">
        <v>51715.82</v>
      </c>
      <c r="L16" s="84">
        <v>0</v>
      </c>
      <c r="M16" s="84">
        <v>0</v>
      </c>
      <c r="N16" s="84">
        <v>8000</v>
      </c>
      <c r="O16" s="84">
        <v>0</v>
      </c>
      <c r="P16" s="84">
        <f t="shared" si="3"/>
        <v>59715.82</v>
      </c>
      <c r="Q16" s="131">
        <v>41444</v>
      </c>
      <c r="R16" s="130">
        <v>38194</v>
      </c>
      <c r="S16" s="121">
        <f t="shared" si="0"/>
        <v>3250</v>
      </c>
      <c r="T16" s="166">
        <f t="shared" si="1"/>
        <v>7.8419071518193231E-2</v>
      </c>
      <c r="U16" s="30" t="s">
        <v>10</v>
      </c>
    </row>
    <row r="17" spans="2:22" s="34" customFormat="1" ht="28.5" customHeight="1" x14ac:dyDescent="0.2">
      <c r="B17" s="175">
        <f t="shared" si="4"/>
        <v>9</v>
      </c>
      <c r="C17" s="36" t="s">
        <v>150</v>
      </c>
      <c r="D17" s="177" t="s">
        <v>54</v>
      </c>
      <c r="E17" s="68">
        <v>56</v>
      </c>
      <c r="F17" s="68">
        <v>56</v>
      </c>
      <c r="G17" s="161">
        <v>10</v>
      </c>
      <c r="H17" s="161">
        <v>10</v>
      </c>
      <c r="I17" s="29">
        <f t="shared" si="5"/>
        <v>0</v>
      </c>
      <c r="J17" s="151">
        <f t="shared" si="2"/>
        <v>0</v>
      </c>
      <c r="K17" s="84">
        <v>152697.44</v>
      </c>
      <c r="L17" s="84">
        <v>0</v>
      </c>
      <c r="M17" s="84">
        <v>0</v>
      </c>
      <c r="N17" s="84">
        <v>0</v>
      </c>
      <c r="O17" s="84">
        <v>0</v>
      </c>
      <c r="P17" s="84">
        <f t="shared" si="3"/>
        <v>152697.44</v>
      </c>
      <c r="Q17" s="131">
        <v>126419.07</v>
      </c>
      <c r="R17" s="130">
        <v>118252</v>
      </c>
      <c r="S17" s="121">
        <f t="shared" si="0"/>
        <v>8167.070000000007</v>
      </c>
      <c r="T17" s="166">
        <f t="shared" si="1"/>
        <v>6.460314887619413E-2</v>
      </c>
      <c r="U17" s="30" t="s">
        <v>11</v>
      </c>
    </row>
    <row r="18" spans="2:22" ht="28.5" customHeight="1" x14ac:dyDescent="0.2">
      <c r="B18" s="175">
        <f t="shared" si="4"/>
        <v>10</v>
      </c>
      <c r="C18" s="36" t="s">
        <v>56</v>
      </c>
      <c r="D18" s="177" t="s">
        <v>57</v>
      </c>
      <c r="E18" s="68">
        <v>26</v>
      </c>
      <c r="F18" s="29">
        <v>28</v>
      </c>
      <c r="G18" s="161">
        <v>23</v>
      </c>
      <c r="H18" s="161">
        <v>23</v>
      </c>
      <c r="I18" s="29">
        <f t="shared" si="5"/>
        <v>0</v>
      </c>
      <c r="J18" s="151">
        <f t="shared" si="2"/>
        <v>0</v>
      </c>
      <c r="K18" s="84">
        <v>154392.74000000002</v>
      </c>
      <c r="L18" s="84">
        <v>0</v>
      </c>
      <c r="M18" s="84">
        <v>0</v>
      </c>
      <c r="N18" s="84">
        <v>271724</v>
      </c>
      <c r="O18" s="84">
        <v>4</v>
      </c>
      <c r="P18" s="84">
        <f t="shared" si="3"/>
        <v>426112.74</v>
      </c>
      <c r="Q18" s="131">
        <v>345688</v>
      </c>
      <c r="R18" s="130">
        <v>61076</v>
      </c>
      <c r="S18" s="121">
        <f t="shared" si="0"/>
        <v>284612</v>
      </c>
      <c r="T18" s="166">
        <f t="shared" si="1"/>
        <v>0.82332045081113603</v>
      </c>
      <c r="U18" s="30" t="s">
        <v>12</v>
      </c>
    </row>
    <row r="19" spans="2:22" ht="28.5" customHeight="1" x14ac:dyDescent="0.2">
      <c r="B19" s="175">
        <f t="shared" si="4"/>
        <v>11</v>
      </c>
      <c r="C19" s="36" t="s">
        <v>142</v>
      </c>
      <c r="D19" s="177" t="s">
        <v>91</v>
      </c>
      <c r="E19" s="68">
        <v>8</v>
      </c>
      <c r="F19" s="29">
        <v>11</v>
      </c>
      <c r="G19" s="161">
        <v>0</v>
      </c>
      <c r="H19" s="161">
        <v>0</v>
      </c>
      <c r="I19" s="29">
        <f t="shared" si="5"/>
        <v>0</v>
      </c>
      <c r="J19" s="151">
        <v>0</v>
      </c>
      <c r="K19" s="84">
        <v>44448</v>
      </c>
      <c r="L19" s="84">
        <v>0</v>
      </c>
      <c r="M19" s="84">
        <v>0</v>
      </c>
      <c r="N19" s="84">
        <v>85098</v>
      </c>
      <c r="O19" s="84">
        <v>0</v>
      </c>
      <c r="P19" s="84">
        <f t="shared" si="3"/>
        <v>129546</v>
      </c>
      <c r="Q19" s="131">
        <v>57964.3</v>
      </c>
      <c r="R19" s="130">
        <v>15281</v>
      </c>
      <c r="S19" s="121">
        <f t="shared" si="0"/>
        <v>42683.3</v>
      </c>
      <c r="T19" s="166">
        <f t="shared" si="1"/>
        <v>0.7363722153118385</v>
      </c>
      <c r="U19" s="176" t="s">
        <v>13</v>
      </c>
      <c r="V19" s="186"/>
    </row>
    <row r="20" spans="2:22" s="34" customFormat="1" ht="28.5" customHeight="1" x14ac:dyDescent="0.2">
      <c r="B20" s="175">
        <f t="shared" si="4"/>
        <v>12</v>
      </c>
      <c r="C20" s="36" t="s">
        <v>42</v>
      </c>
      <c r="D20" s="177" t="s">
        <v>43</v>
      </c>
      <c r="E20" s="68">
        <v>40</v>
      </c>
      <c r="F20" s="29">
        <v>15</v>
      </c>
      <c r="G20" s="161">
        <v>2</v>
      </c>
      <c r="H20" s="161">
        <v>2</v>
      </c>
      <c r="I20" s="29">
        <f t="shared" si="5"/>
        <v>0</v>
      </c>
      <c r="J20" s="151">
        <f t="shared" si="2"/>
        <v>0</v>
      </c>
      <c r="K20" s="84">
        <v>148698.41</v>
      </c>
      <c r="L20" s="84">
        <v>0</v>
      </c>
      <c r="M20" s="84">
        <v>0</v>
      </c>
      <c r="N20" s="84">
        <v>0</v>
      </c>
      <c r="O20" s="84">
        <v>0</v>
      </c>
      <c r="P20" s="84">
        <f t="shared" si="3"/>
        <v>148698.41</v>
      </c>
      <c r="Q20" s="131">
        <v>70298</v>
      </c>
      <c r="R20" s="130">
        <v>58362</v>
      </c>
      <c r="S20" s="121">
        <f t="shared" si="0"/>
        <v>11936</v>
      </c>
      <c r="T20" s="166">
        <f t="shared" si="1"/>
        <v>0.16979145921647842</v>
      </c>
      <c r="U20" s="176" t="s">
        <v>14</v>
      </c>
    </row>
    <row r="21" spans="2:22" ht="28.5" customHeight="1" x14ac:dyDescent="0.2">
      <c r="B21" s="175">
        <f t="shared" si="4"/>
        <v>13</v>
      </c>
      <c r="C21" s="36" t="s">
        <v>151</v>
      </c>
      <c r="D21" s="177" t="s">
        <v>62</v>
      </c>
      <c r="E21" s="68">
        <v>84</v>
      </c>
      <c r="F21" s="29">
        <v>173</v>
      </c>
      <c r="G21" s="161">
        <v>21</v>
      </c>
      <c r="H21" s="161">
        <v>21</v>
      </c>
      <c r="I21" s="29">
        <f t="shared" si="5"/>
        <v>0</v>
      </c>
      <c r="J21" s="151">
        <f t="shared" si="2"/>
        <v>0</v>
      </c>
      <c r="K21" s="84">
        <v>149499.61000000002</v>
      </c>
      <c r="L21" s="84">
        <v>0</v>
      </c>
      <c r="M21" s="84">
        <v>0</v>
      </c>
      <c r="N21" s="84">
        <v>70155.600000000006</v>
      </c>
      <c r="O21" s="84">
        <v>156</v>
      </c>
      <c r="P21" s="84">
        <f t="shared" si="3"/>
        <v>219499.21000000002</v>
      </c>
      <c r="Q21" s="131">
        <v>176474</v>
      </c>
      <c r="R21" s="130">
        <v>87782</v>
      </c>
      <c r="S21" s="121">
        <f t="shared" si="0"/>
        <v>88692</v>
      </c>
      <c r="T21" s="166">
        <f t="shared" si="1"/>
        <v>0.50257828348651923</v>
      </c>
      <c r="U21" s="176" t="s">
        <v>15</v>
      </c>
    </row>
    <row r="22" spans="2:22" s="34" customFormat="1" ht="28.5" customHeight="1" x14ac:dyDescent="0.2">
      <c r="B22" s="175">
        <f t="shared" si="4"/>
        <v>14</v>
      </c>
      <c r="C22" s="36" t="s">
        <v>152</v>
      </c>
      <c r="D22" s="177" t="s">
        <v>92</v>
      </c>
      <c r="E22" s="68">
        <v>60</v>
      </c>
      <c r="F22" s="29">
        <v>70</v>
      </c>
      <c r="G22" s="161">
        <v>23</v>
      </c>
      <c r="H22" s="161">
        <v>23</v>
      </c>
      <c r="I22" s="29">
        <f t="shared" si="5"/>
        <v>0</v>
      </c>
      <c r="J22" s="151">
        <f t="shared" si="2"/>
        <v>0</v>
      </c>
      <c r="K22" s="84">
        <v>63929.999999999993</v>
      </c>
      <c r="L22" s="84">
        <v>0</v>
      </c>
      <c r="M22" s="84">
        <v>0</v>
      </c>
      <c r="N22" s="84">
        <v>200000</v>
      </c>
      <c r="O22" s="84">
        <v>0</v>
      </c>
      <c r="P22" s="84">
        <f t="shared" si="3"/>
        <v>263930</v>
      </c>
      <c r="Q22" s="131">
        <v>229014</v>
      </c>
      <c r="R22" s="130">
        <v>19594.8</v>
      </c>
      <c r="S22" s="121">
        <f t="shared" si="0"/>
        <v>209419.2</v>
      </c>
      <c r="T22" s="166">
        <f t="shared" si="1"/>
        <v>0.91443841861196262</v>
      </c>
      <c r="U22" s="180" t="s">
        <v>17</v>
      </c>
    </row>
    <row r="23" spans="2:22" s="34" customFormat="1" ht="28.5" customHeight="1" x14ac:dyDescent="0.2">
      <c r="B23" s="175">
        <f t="shared" si="4"/>
        <v>15</v>
      </c>
      <c r="C23" s="36" t="s">
        <v>143</v>
      </c>
      <c r="D23" s="177" t="s">
        <v>91</v>
      </c>
      <c r="E23" s="68">
        <v>2</v>
      </c>
      <c r="F23" s="29">
        <v>1</v>
      </c>
      <c r="G23" s="161">
        <v>1</v>
      </c>
      <c r="H23" s="161">
        <v>1</v>
      </c>
      <c r="I23" s="29">
        <f t="shared" si="5"/>
        <v>0</v>
      </c>
      <c r="J23" s="151">
        <f t="shared" si="2"/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f t="shared" si="3"/>
        <v>0</v>
      </c>
      <c r="Q23" s="131">
        <v>0</v>
      </c>
      <c r="R23" s="130">
        <v>0</v>
      </c>
      <c r="S23" s="121">
        <f t="shared" si="0"/>
        <v>0</v>
      </c>
      <c r="T23" s="166">
        <v>0</v>
      </c>
      <c r="U23" s="180"/>
    </row>
    <row r="24" spans="2:22" ht="28.5" customHeight="1" x14ac:dyDescent="0.2">
      <c r="B24" s="175">
        <f t="shared" si="4"/>
        <v>16</v>
      </c>
      <c r="C24" s="36" t="s">
        <v>63</v>
      </c>
      <c r="D24" s="177" t="s">
        <v>93</v>
      </c>
      <c r="E24" s="68">
        <v>57</v>
      </c>
      <c r="F24" s="29">
        <v>49</v>
      </c>
      <c r="G24" s="161">
        <v>14</v>
      </c>
      <c r="H24" s="161">
        <v>14</v>
      </c>
      <c r="I24" s="29">
        <f t="shared" si="5"/>
        <v>0</v>
      </c>
      <c r="J24" s="151">
        <f>(H24/G24)-1</f>
        <v>0</v>
      </c>
      <c r="K24" s="84">
        <v>2713766.156</v>
      </c>
      <c r="L24" s="84">
        <v>0</v>
      </c>
      <c r="M24" s="84">
        <v>0</v>
      </c>
      <c r="N24" s="84">
        <v>1888264.3</v>
      </c>
      <c r="O24" s="84">
        <v>0</v>
      </c>
      <c r="P24" s="84">
        <f t="shared" si="3"/>
        <v>4602030.4560000002</v>
      </c>
      <c r="Q24" s="131">
        <v>2450776</v>
      </c>
      <c r="R24" s="130">
        <v>2349856</v>
      </c>
      <c r="S24" s="121">
        <f t="shared" si="0"/>
        <v>100920</v>
      </c>
      <c r="T24" s="166">
        <f t="shared" si="1"/>
        <v>4.1178793981987746E-2</v>
      </c>
      <c r="U24" s="180" t="s">
        <v>18</v>
      </c>
    </row>
    <row r="25" spans="2:22" ht="28.5" customHeight="1" x14ac:dyDescent="0.2">
      <c r="B25" s="175">
        <f t="shared" si="4"/>
        <v>17</v>
      </c>
      <c r="C25" s="36" t="s">
        <v>65</v>
      </c>
      <c r="D25" s="179" t="s">
        <v>66</v>
      </c>
      <c r="E25" s="29">
        <v>1</v>
      </c>
      <c r="F25" s="29">
        <v>1</v>
      </c>
      <c r="G25" s="190">
        <v>0.25</v>
      </c>
      <c r="H25" s="190">
        <v>0.25</v>
      </c>
      <c r="I25" s="29">
        <f t="shared" si="5"/>
        <v>0</v>
      </c>
      <c r="J25" s="151">
        <f t="shared" si="2"/>
        <v>0</v>
      </c>
      <c r="K25" s="84">
        <v>74536111.109999985</v>
      </c>
      <c r="L25" s="84">
        <v>0</v>
      </c>
      <c r="M25" s="84">
        <v>0</v>
      </c>
      <c r="N25" s="84">
        <v>360000</v>
      </c>
      <c r="O25" s="84">
        <v>3613600.8</v>
      </c>
      <c r="P25" s="84">
        <f t="shared" si="3"/>
        <v>71282510.309999987</v>
      </c>
      <c r="Q25" s="131">
        <v>36187900.299999997</v>
      </c>
      <c r="R25" s="130">
        <v>33432079</v>
      </c>
      <c r="S25" s="121">
        <f t="shared" si="0"/>
        <v>2755821.299999997</v>
      </c>
      <c r="T25" s="166">
        <f t="shared" si="1"/>
        <v>7.6153114083825343E-2</v>
      </c>
      <c r="U25" s="180" t="s">
        <v>19</v>
      </c>
    </row>
    <row r="26" spans="2:22" s="34" customFormat="1" ht="28.5" customHeight="1" x14ac:dyDescent="0.2">
      <c r="B26" s="175">
        <f t="shared" si="4"/>
        <v>18</v>
      </c>
      <c r="C26" s="36" t="s">
        <v>78</v>
      </c>
      <c r="D26" s="29" t="s">
        <v>144</v>
      </c>
      <c r="E26" s="29">
        <v>19</v>
      </c>
      <c r="F26" s="29">
        <v>6</v>
      </c>
      <c r="G26" s="161">
        <v>5</v>
      </c>
      <c r="H26" s="161">
        <v>5</v>
      </c>
      <c r="I26" s="29">
        <f t="shared" si="5"/>
        <v>0</v>
      </c>
      <c r="J26" s="151">
        <v>0</v>
      </c>
      <c r="K26" s="84">
        <v>0</v>
      </c>
      <c r="L26" s="84">
        <v>0</v>
      </c>
      <c r="M26" s="84">
        <v>0</v>
      </c>
      <c r="N26" s="84">
        <v>482508</v>
      </c>
      <c r="O26" s="84">
        <v>0</v>
      </c>
      <c r="P26" s="84">
        <f t="shared" si="3"/>
        <v>482508</v>
      </c>
      <c r="Q26" s="131">
        <v>50698</v>
      </c>
      <c r="R26" s="130">
        <v>0</v>
      </c>
      <c r="S26" s="121">
        <f t="shared" si="0"/>
        <v>50698</v>
      </c>
      <c r="T26" s="166">
        <f t="shared" si="1"/>
        <v>1</v>
      </c>
      <c r="U26" s="180" t="s">
        <v>21</v>
      </c>
    </row>
    <row r="27" spans="2:22" s="34" customFormat="1" ht="28.5" customHeight="1" x14ac:dyDescent="0.2">
      <c r="B27" s="175">
        <f t="shared" si="4"/>
        <v>19</v>
      </c>
      <c r="C27" s="36" t="s">
        <v>123</v>
      </c>
      <c r="D27" s="178" t="s">
        <v>60</v>
      </c>
      <c r="E27" s="65">
        <v>4</v>
      </c>
      <c r="F27" s="29">
        <v>4</v>
      </c>
      <c r="G27" s="161">
        <v>1</v>
      </c>
      <c r="H27" s="161">
        <v>1</v>
      </c>
      <c r="I27" s="29">
        <f t="shared" si="5"/>
        <v>0</v>
      </c>
      <c r="J27" s="151">
        <f t="shared" si="2"/>
        <v>0</v>
      </c>
      <c r="K27" s="84">
        <v>998330.4</v>
      </c>
      <c r="L27" s="84">
        <v>0</v>
      </c>
      <c r="M27" s="84">
        <v>0</v>
      </c>
      <c r="N27" s="84">
        <v>0</v>
      </c>
      <c r="O27" s="84">
        <v>0</v>
      </c>
      <c r="P27" s="84">
        <f t="shared" si="3"/>
        <v>998330.4</v>
      </c>
      <c r="Q27" s="131">
        <v>987302</v>
      </c>
      <c r="R27" s="130">
        <v>957021</v>
      </c>
      <c r="S27" s="121">
        <f t="shared" si="0"/>
        <v>30281</v>
      </c>
      <c r="T27" s="166">
        <f t="shared" si="1"/>
        <v>3.0670453417495355E-2</v>
      </c>
      <c r="U27" s="180" t="s">
        <v>135</v>
      </c>
    </row>
    <row r="28" spans="2:22" s="34" customFormat="1" ht="28.5" customHeight="1" x14ac:dyDescent="0.2">
      <c r="B28" s="175">
        <f t="shared" si="4"/>
        <v>20</v>
      </c>
      <c r="C28" s="36" t="s">
        <v>153</v>
      </c>
      <c r="D28" s="179" t="s">
        <v>94</v>
      </c>
      <c r="E28" s="29">
        <v>60</v>
      </c>
      <c r="F28" s="29">
        <v>60</v>
      </c>
      <c r="G28" s="161">
        <v>15</v>
      </c>
      <c r="H28" s="161">
        <v>15</v>
      </c>
      <c r="I28" s="29">
        <f t="shared" si="5"/>
        <v>0</v>
      </c>
      <c r="J28" s="151">
        <f t="shared" si="2"/>
        <v>0</v>
      </c>
      <c r="K28" s="84">
        <v>148136.28000000003</v>
      </c>
      <c r="L28" s="84">
        <v>0</v>
      </c>
      <c r="M28" s="84">
        <v>0</v>
      </c>
      <c r="N28" s="84">
        <v>8506</v>
      </c>
      <c r="O28" s="84">
        <v>8505</v>
      </c>
      <c r="P28" s="84">
        <f t="shared" si="3"/>
        <v>148137.28000000003</v>
      </c>
      <c r="Q28" s="131">
        <v>94564</v>
      </c>
      <c r="R28" s="130">
        <v>62474</v>
      </c>
      <c r="S28" s="121">
        <f t="shared" si="0"/>
        <v>32090</v>
      </c>
      <c r="T28" s="166">
        <f t="shared" si="1"/>
        <v>0.33934689733936807</v>
      </c>
      <c r="U28" s="180" t="s">
        <v>145</v>
      </c>
    </row>
    <row r="29" spans="2:22" s="173" customFormat="1" ht="30" customHeight="1" x14ac:dyDescent="0.2">
      <c r="B29" s="220" t="s">
        <v>1</v>
      </c>
      <c r="C29" s="221"/>
      <c r="D29" s="222"/>
      <c r="E29" s="162">
        <f>SUM(E9:E28)</f>
        <v>16177</v>
      </c>
      <c r="F29" s="162">
        <f>SUM(F9:F28)</f>
        <v>15136</v>
      </c>
      <c r="G29" s="162">
        <f>SUM(G9:G28)</f>
        <v>7620.25</v>
      </c>
      <c r="H29" s="162">
        <f>SUM(H9:H28)</f>
        <v>7620.25</v>
      </c>
      <c r="I29" s="100">
        <f t="shared" ref="I29" si="6">H29-G29</f>
        <v>0</v>
      </c>
      <c r="J29" s="187">
        <f t="shared" ref="J29" si="7">(H29/G29)-1</f>
        <v>0</v>
      </c>
      <c r="K29" s="103">
        <f>SUM(K9:K28)</f>
        <v>80328992.154299989</v>
      </c>
      <c r="L29" s="168">
        <f>SUM(L9:L28)</f>
        <v>0</v>
      </c>
      <c r="M29" s="168">
        <f>SUM(M9:M28)</f>
        <v>0</v>
      </c>
      <c r="N29" s="168">
        <f>SUM(N9:N28)-1</f>
        <v>3632481.89</v>
      </c>
      <c r="O29" s="168">
        <f>SUM(O9:O28)</f>
        <v>3632482.1999999997</v>
      </c>
      <c r="P29" s="168">
        <f t="shared" si="3"/>
        <v>80328991.844299987</v>
      </c>
      <c r="Q29" s="168">
        <f>SUM(Q9:Q28)</f>
        <v>41514782.669999994</v>
      </c>
      <c r="R29" s="168">
        <f>SUM(R9:R28)</f>
        <v>37672866.799999997</v>
      </c>
      <c r="S29" s="168">
        <f>SUM(S9:S28)</f>
        <v>3841915.8699999973</v>
      </c>
      <c r="T29" s="167">
        <f t="shared" si="1"/>
        <v>9.2543321267975653E-2</v>
      </c>
      <c r="U29" s="44"/>
    </row>
    <row r="30" spans="2:22" s="50" customFormat="1" ht="10.5" customHeight="1" x14ac:dyDescent="0.2">
      <c r="B30" s="46"/>
      <c r="C30" s="46"/>
      <c r="D30" s="46"/>
      <c r="E30" s="46"/>
      <c r="F30" s="46"/>
      <c r="G30" s="111"/>
      <c r="H30" s="111"/>
      <c r="I30" s="46"/>
      <c r="J30" s="47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</row>
    <row r="31" spans="2:22" s="64" customFormat="1" x14ac:dyDescent="0.25">
      <c r="B31" s="70" t="s">
        <v>156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</row>
    <row r="32" spans="2:22" s="64" customFormat="1" x14ac:dyDescent="0.25"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2:21" s="64" customFormat="1" ht="15" x14ac:dyDescent="0.25"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107"/>
      <c r="M33" s="107"/>
      <c r="N33" s="70"/>
      <c r="O33" s="70"/>
      <c r="P33" s="70"/>
      <c r="Q33" s="70"/>
      <c r="R33" s="70"/>
      <c r="S33" s="70"/>
      <c r="T33" s="70"/>
    </row>
    <row r="34" spans="2:21" s="50" customFormat="1" ht="20.25" customHeight="1" x14ac:dyDescent="0.2">
      <c r="B34" s="46"/>
      <c r="C34" s="46"/>
      <c r="D34" s="46"/>
      <c r="E34" s="46"/>
      <c r="F34" s="46"/>
      <c r="G34" s="111"/>
      <c r="H34" s="111"/>
      <c r="I34" s="46"/>
      <c r="J34" s="47"/>
      <c r="K34" s="48"/>
      <c r="L34" s="48"/>
      <c r="M34" s="48"/>
      <c r="N34" s="112"/>
      <c r="O34" s="112"/>
      <c r="P34" s="48"/>
      <c r="Q34" s="138"/>
      <c r="R34" s="113"/>
      <c r="S34" s="48"/>
      <c r="T34" s="49"/>
      <c r="U34" s="48"/>
    </row>
    <row r="35" spans="2:21" s="107" customFormat="1" ht="15" x14ac:dyDescent="0.25">
      <c r="Q35" s="139"/>
    </row>
    <row r="36" spans="2:21" s="107" customFormat="1" ht="15" x14ac:dyDescent="0.25">
      <c r="Q36" s="139"/>
    </row>
    <row r="37" spans="2:21" s="107" customFormat="1" ht="15" x14ac:dyDescent="0.25">
      <c r="Q37" s="139"/>
    </row>
    <row r="38" spans="2:21" s="107" customFormat="1" ht="15" x14ac:dyDescent="0.25">
      <c r="Q38" s="139"/>
    </row>
    <row r="39" spans="2:21" s="107" customFormat="1" ht="15" x14ac:dyDescent="0.25">
      <c r="Q39" s="139"/>
    </row>
    <row r="40" spans="2:21" s="107" customFormat="1" ht="15" x14ac:dyDescent="0.25">
      <c r="Q40" s="140"/>
    </row>
    <row r="41" spans="2:21" s="107" customFormat="1" ht="15" x14ac:dyDescent="0.25">
      <c r="Q41" s="140"/>
    </row>
    <row r="42" spans="2:21" s="107" customFormat="1" ht="15" x14ac:dyDescent="0.25">
      <c r="Q42" s="140"/>
    </row>
    <row r="43" spans="2:21" s="107" customFormat="1" ht="15" x14ac:dyDescent="0.25">
      <c r="Q43" s="140"/>
    </row>
    <row r="44" spans="2:21" s="107" customFormat="1" ht="27.75" customHeight="1" x14ac:dyDescent="0.25">
      <c r="Q44" s="141"/>
      <c r="U44" s="159">
        <v>2</v>
      </c>
    </row>
    <row r="45" spans="2:21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142"/>
      <c r="R45" s="78"/>
      <c r="S45" s="78"/>
      <c r="T45" s="78"/>
      <c r="U45" s="78"/>
    </row>
    <row r="47" spans="2:21" x14ac:dyDescent="0.2">
      <c r="Q47" s="144"/>
    </row>
    <row r="49" spans="18:18" x14ac:dyDescent="0.2">
      <c r="R49" s="76"/>
    </row>
  </sheetData>
  <mergeCells count="24">
    <mergeCell ref="B1:T1"/>
    <mergeCell ref="B2:T2"/>
    <mergeCell ref="B3:T3"/>
    <mergeCell ref="B29:D29"/>
    <mergeCell ref="E7:F7"/>
    <mergeCell ref="G7:G8"/>
    <mergeCell ref="H7:H8"/>
    <mergeCell ref="I7:J7"/>
    <mergeCell ref="L6:L8"/>
    <mergeCell ref="M6:M8"/>
    <mergeCell ref="B5:B8"/>
    <mergeCell ref="C5:C8"/>
    <mergeCell ref="D5:D8"/>
    <mergeCell ref="E5:J6"/>
    <mergeCell ref="K5:U5"/>
    <mergeCell ref="S6:T7"/>
    <mergeCell ref="U6:U8"/>
    <mergeCell ref="K6:K8"/>
    <mergeCell ref="N6:O6"/>
    <mergeCell ref="P6:P8"/>
    <mergeCell ref="Q6:Q8"/>
    <mergeCell ref="R6:R8"/>
    <mergeCell ref="N7:N8"/>
    <mergeCell ref="O7:O8"/>
  </mergeCells>
  <printOptions horizontalCentered="1"/>
  <pageMargins left="0" right="0" top="0.74803149606299213" bottom="0.74803149606299213" header="0.31496062992125984" footer="0.31496062992125984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V35"/>
  <sheetViews>
    <sheetView topLeftCell="A14" zoomScale="90" zoomScaleNormal="90" workbookViewId="0">
      <selection activeCell="V27" sqref="V27"/>
    </sheetView>
  </sheetViews>
  <sheetFormatPr baseColWidth="10" defaultRowHeight="12.75" x14ac:dyDescent="0.25"/>
  <cols>
    <col min="1" max="1" width="2.7109375" style="64" customWidth="1"/>
    <col min="2" max="2" width="5.28515625" style="70" customWidth="1"/>
    <col min="3" max="3" width="25.42578125" style="70" customWidth="1"/>
    <col min="4" max="4" width="15.7109375" style="70" customWidth="1"/>
    <col min="5" max="5" width="14" style="70" bestFit="1" customWidth="1"/>
    <col min="6" max="6" width="14.42578125" style="70" hidden="1" customWidth="1"/>
    <col min="7" max="7" width="11" style="70" bestFit="1" customWidth="1"/>
    <col min="8" max="8" width="14.28515625" style="70" bestFit="1" customWidth="1"/>
    <col min="9" max="9" width="12.140625" style="70" bestFit="1" customWidth="1"/>
    <col min="10" max="10" width="14" style="70" bestFit="1" customWidth="1"/>
    <col min="11" max="13" width="13.85546875" style="70" hidden="1" customWidth="1"/>
    <col min="14" max="14" width="11.28515625" style="70" hidden="1" customWidth="1"/>
    <col min="15" max="15" width="12" style="70" hidden="1" customWidth="1"/>
    <col min="16" max="16" width="14.42578125" style="70" hidden="1" customWidth="1"/>
    <col min="17" max="17" width="14.140625" style="182" hidden="1" customWidth="1"/>
    <col min="18" max="18" width="13.5703125" style="182" hidden="1" customWidth="1"/>
    <col min="19" max="19" width="13.5703125" style="70" hidden="1" customWidth="1"/>
    <col min="20" max="20" width="7.85546875" style="70" hidden="1" customWidth="1"/>
    <col min="21" max="21" width="12.7109375" style="64" hidden="1" customWidth="1"/>
    <col min="22" max="214" width="11.42578125" style="64"/>
    <col min="215" max="215" width="5.28515625" style="64" customWidth="1"/>
    <col min="216" max="216" width="25.42578125" style="64" customWidth="1"/>
    <col min="217" max="217" width="13" style="64" customWidth="1"/>
    <col min="218" max="218" width="9.5703125" style="64" customWidth="1"/>
    <col min="219" max="219" width="12" style="64" customWidth="1"/>
    <col min="220" max="220" width="12.28515625" style="64" customWidth="1"/>
    <col min="221" max="221" width="11.28515625" style="64" customWidth="1"/>
    <col min="222" max="222" width="10.85546875" style="64" customWidth="1"/>
    <col min="223" max="223" width="11.5703125" style="64" customWidth="1"/>
    <col min="224" max="224" width="12.5703125" style="64" customWidth="1"/>
    <col min="225" max="225" width="12.28515625" style="64" customWidth="1"/>
    <col min="226" max="226" width="12.140625" style="64" customWidth="1"/>
    <col min="227" max="227" width="0" style="64" hidden="1" customWidth="1"/>
    <col min="228" max="228" width="11.28515625" style="64" customWidth="1"/>
    <col min="229" max="229" width="11.140625" style="64" customWidth="1"/>
    <col min="230" max="231" width="0" style="64" hidden="1" customWidth="1"/>
    <col min="232" max="232" width="8.85546875" style="64" bestFit="1" customWidth="1"/>
    <col min="233" max="470" width="11.42578125" style="64"/>
    <col min="471" max="471" width="5.28515625" style="64" customWidth="1"/>
    <col min="472" max="472" width="25.42578125" style="64" customWidth="1"/>
    <col min="473" max="473" width="13" style="64" customWidth="1"/>
    <col min="474" max="474" width="9.5703125" style="64" customWidth="1"/>
    <col min="475" max="475" width="12" style="64" customWidth="1"/>
    <col min="476" max="476" width="12.28515625" style="64" customWidth="1"/>
    <col min="477" max="477" width="11.28515625" style="64" customWidth="1"/>
    <col min="478" max="478" width="10.85546875" style="64" customWidth="1"/>
    <col min="479" max="479" width="11.5703125" style="64" customWidth="1"/>
    <col min="480" max="480" width="12.5703125" style="64" customWidth="1"/>
    <col min="481" max="481" width="12.28515625" style="64" customWidth="1"/>
    <col min="482" max="482" width="12.140625" style="64" customWidth="1"/>
    <col min="483" max="483" width="0" style="64" hidden="1" customWidth="1"/>
    <col min="484" max="484" width="11.28515625" style="64" customWidth="1"/>
    <col min="485" max="485" width="11.140625" style="64" customWidth="1"/>
    <col min="486" max="487" width="0" style="64" hidden="1" customWidth="1"/>
    <col min="488" max="488" width="8.85546875" style="64" bestFit="1" customWidth="1"/>
    <col min="489" max="726" width="11.42578125" style="64"/>
    <col min="727" max="727" width="5.28515625" style="64" customWidth="1"/>
    <col min="728" max="728" width="25.42578125" style="64" customWidth="1"/>
    <col min="729" max="729" width="13" style="64" customWidth="1"/>
    <col min="730" max="730" width="9.5703125" style="64" customWidth="1"/>
    <col min="731" max="731" width="12" style="64" customWidth="1"/>
    <col min="732" max="732" width="12.28515625" style="64" customWidth="1"/>
    <col min="733" max="733" width="11.28515625" style="64" customWidth="1"/>
    <col min="734" max="734" width="10.85546875" style="64" customWidth="1"/>
    <col min="735" max="735" width="11.5703125" style="64" customWidth="1"/>
    <col min="736" max="736" width="12.5703125" style="64" customWidth="1"/>
    <col min="737" max="737" width="12.28515625" style="64" customWidth="1"/>
    <col min="738" max="738" width="12.140625" style="64" customWidth="1"/>
    <col min="739" max="739" width="0" style="64" hidden="1" customWidth="1"/>
    <col min="740" max="740" width="11.28515625" style="64" customWidth="1"/>
    <col min="741" max="741" width="11.140625" style="64" customWidth="1"/>
    <col min="742" max="743" width="0" style="64" hidden="1" customWidth="1"/>
    <col min="744" max="744" width="8.85546875" style="64" bestFit="1" customWidth="1"/>
    <col min="745" max="982" width="11.42578125" style="64"/>
    <col min="983" max="983" width="5.28515625" style="64" customWidth="1"/>
    <col min="984" max="984" width="25.42578125" style="64" customWidth="1"/>
    <col min="985" max="985" width="13" style="64" customWidth="1"/>
    <col min="986" max="986" width="9.5703125" style="64" customWidth="1"/>
    <col min="987" max="987" width="12" style="64" customWidth="1"/>
    <col min="988" max="988" width="12.28515625" style="64" customWidth="1"/>
    <col min="989" max="989" width="11.28515625" style="64" customWidth="1"/>
    <col min="990" max="990" width="10.85546875" style="64" customWidth="1"/>
    <col min="991" max="991" width="11.5703125" style="64" customWidth="1"/>
    <col min="992" max="992" width="12.5703125" style="64" customWidth="1"/>
    <col min="993" max="993" width="12.28515625" style="64" customWidth="1"/>
    <col min="994" max="994" width="12.140625" style="64" customWidth="1"/>
    <col min="995" max="995" width="0" style="64" hidden="1" customWidth="1"/>
    <col min="996" max="996" width="11.28515625" style="64" customWidth="1"/>
    <col min="997" max="997" width="11.140625" style="64" customWidth="1"/>
    <col min="998" max="999" width="0" style="64" hidden="1" customWidth="1"/>
    <col min="1000" max="1000" width="8.85546875" style="64" bestFit="1" customWidth="1"/>
    <col min="1001" max="1238" width="11.42578125" style="64"/>
    <col min="1239" max="1239" width="5.28515625" style="64" customWidth="1"/>
    <col min="1240" max="1240" width="25.42578125" style="64" customWidth="1"/>
    <col min="1241" max="1241" width="13" style="64" customWidth="1"/>
    <col min="1242" max="1242" width="9.5703125" style="64" customWidth="1"/>
    <col min="1243" max="1243" width="12" style="64" customWidth="1"/>
    <col min="1244" max="1244" width="12.28515625" style="64" customWidth="1"/>
    <col min="1245" max="1245" width="11.28515625" style="64" customWidth="1"/>
    <col min="1246" max="1246" width="10.85546875" style="64" customWidth="1"/>
    <col min="1247" max="1247" width="11.5703125" style="64" customWidth="1"/>
    <col min="1248" max="1248" width="12.5703125" style="64" customWidth="1"/>
    <col min="1249" max="1249" width="12.28515625" style="64" customWidth="1"/>
    <col min="1250" max="1250" width="12.140625" style="64" customWidth="1"/>
    <col min="1251" max="1251" width="0" style="64" hidden="1" customWidth="1"/>
    <col min="1252" max="1252" width="11.28515625" style="64" customWidth="1"/>
    <col min="1253" max="1253" width="11.140625" style="64" customWidth="1"/>
    <col min="1254" max="1255" width="0" style="64" hidden="1" customWidth="1"/>
    <col min="1256" max="1256" width="8.85546875" style="64" bestFit="1" customWidth="1"/>
    <col min="1257" max="1494" width="11.42578125" style="64"/>
    <col min="1495" max="1495" width="5.28515625" style="64" customWidth="1"/>
    <col min="1496" max="1496" width="25.42578125" style="64" customWidth="1"/>
    <col min="1497" max="1497" width="13" style="64" customWidth="1"/>
    <col min="1498" max="1498" width="9.5703125" style="64" customWidth="1"/>
    <col min="1499" max="1499" width="12" style="64" customWidth="1"/>
    <col min="1500" max="1500" width="12.28515625" style="64" customWidth="1"/>
    <col min="1501" max="1501" width="11.28515625" style="64" customWidth="1"/>
    <col min="1502" max="1502" width="10.85546875" style="64" customWidth="1"/>
    <col min="1503" max="1503" width="11.5703125" style="64" customWidth="1"/>
    <col min="1504" max="1504" width="12.5703125" style="64" customWidth="1"/>
    <col min="1505" max="1505" width="12.28515625" style="64" customWidth="1"/>
    <col min="1506" max="1506" width="12.140625" style="64" customWidth="1"/>
    <col min="1507" max="1507" width="0" style="64" hidden="1" customWidth="1"/>
    <col min="1508" max="1508" width="11.28515625" style="64" customWidth="1"/>
    <col min="1509" max="1509" width="11.140625" style="64" customWidth="1"/>
    <col min="1510" max="1511" width="0" style="64" hidden="1" customWidth="1"/>
    <col min="1512" max="1512" width="8.85546875" style="64" bestFit="1" customWidth="1"/>
    <col min="1513" max="1750" width="11.42578125" style="64"/>
    <col min="1751" max="1751" width="5.28515625" style="64" customWidth="1"/>
    <col min="1752" max="1752" width="25.42578125" style="64" customWidth="1"/>
    <col min="1753" max="1753" width="13" style="64" customWidth="1"/>
    <col min="1754" max="1754" width="9.5703125" style="64" customWidth="1"/>
    <col min="1755" max="1755" width="12" style="64" customWidth="1"/>
    <col min="1756" max="1756" width="12.28515625" style="64" customWidth="1"/>
    <col min="1757" max="1757" width="11.28515625" style="64" customWidth="1"/>
    <col min="1758" max="1758" width="10.85546875" style="64" customWidth="1"/>
    <col min="1759" max="1759" width="11.5703125" style="64" customWidth="1"/>
    <col min="1760" max="1760" width="12.5703125" style="64" customWidth="1"/>
    <col min="1761" max="1761" width="12.28515625" style="64" customWidth="1"/>
    <col min="1762" max="1762" width="12.140625" style="64" customWidth="1"/>
    <col min="1763" max="1763" width="0" style="64" hidden="1" customWidth="1"/>
    <col min="1764" max="1764" width="11.28515625" style="64" customWidth="1"/>
    <col min="1765" max="1765" width="11.140625" style="64" customWidth="1"/>
    <col min="1766" max="1767" width="0" style="64" hidden="1" customWidth="1"/>
    <col min="1768" max="1768" width="8.85546875" style="64" bestFit="1" customWidth="1"/>
    <col min="1769" max="2006" width="11.42578125" style="64"/>
    <col min="2007" max="2007" width="5.28515625" style="64" customWidth="1"/>
    <col min="2008" max="2008" width="25.42578125" style="64" customWidth="1"/>
    <col min="2009" max="2009" width="13" style="64" customWidth="1"/>
    <col min="2010" max="2010" width="9.5703125" style="64" customWidth="1"/>
    <col min="2011" max="2011" width="12" style="64" customWidth="1"/>
    <col min="2012" max="2012" width="12.28515625" style="64" customWidth="1"/>
    <col min="2013" max="2013" width="11.28515625" style="64" customWidth="1"/>
    <col min="2014" max="2014" width="10.85546875" style="64" customWidth="1"/>
    <col min="2015" max="2015" width="11.5703125" style="64" customWidth="1"/>
    <col min="2016" max="2016" width="12.5703125" style="64" customWidth="1"/>
    <col min="2017" max="2017" width="12.28515625" style="64" customWidth="1"/>
    <col min="2018" max="2018" width="12.140625" style="64" customWidth="1"/>
    <col min="2019" max="2019" width="0" style="64" hidden="1" customWidth="1"/>
    <col min="2020" max="2020" width="11.28515625" style="64" customWidth="1"/>
    <col min="2021" max="2021" width="11.140625" style="64" customWidth="1"/>
    <col min="2022" max="2023" width="0" style="64" hidden="1" customWidth="1"/>
    <col min="2024" max="2024" width="8.85546875" style="64" bestFit="1" customWidth="1"/>
    <col min="2025" max="2262" width="11.42578125" style="64"/>
    <col min="2263" max="2263" width="5.28515625" style="64" customWidth="1"/>
    <col min="2264" max="2264" width="25.42578125" style="64" customWidth="1"/>
    <col min="2265" max="2265" width="13" style="64" customWidth="1"/>
    <col min="2266" max="2266" width="9.5703125" style="64" customWidth="1"/>
    <col min="2267" max="2267" width="12" style="64" customWidth="1"/>
    <col min="2268" max="2268" width="12.28515625" style="64" customWidth="1"/>
    <col min="2269" max="2269" width="11.28515625" style="64" customWidth="1"/>
    <col min="2270" max="2270" width="10.85546875" style="64" customWidth="1"/>
    <col min="2271" max="2271" width="11.5703125" style="64" customWidth="1"/>
    <col min="2272" max="2272" width="12.5703125" style="64" customWidth="1"/>
    <col min="2273" max="2273" width="12.28515625" style="64" customWidth="1"/>
    <col min="2274" max="2274" width="12.140625" style="64" customWidth="1"/>
    <col min="2275" max="2275" width="0" style="64" hidden="1" customWidth="1"/>
    <col min="2276" max="2276" width="11.28515625" style="64" customWidth="1"/>
    <col min="2277" max="2277" width="11.140625" style="64" customWidth="1"/>
    <col min="2278" max="2279" width="0" style="64" hidden="1" customWidth="1"/>
    <col min="2280" max="2280" width="8.85546875" style="64" bestFit="1" customWidth="1"/>
    <col min="2281" max="2518" width="11.42578125" style="64"/>
    <col min="2519" max="2519" width="5.28515625" style="64" customWidth="1"/>
    <col min="2520" max="2520" width="25.42578125" style="64" customWidth="1"/>
    <col min="2521" max="2521" width="13" style="64" customWidth="1"/>
    <col min="2522" max="2522" width="9.5703125" style="64" customWidth="1"/>
    <col min="2523" max="2523" width="12" style="64" customWidth="1"/>
    <col min="2524" max="2524" width="12.28515625" style="64" customWidth="1"/>
    <col min="2525" max="2525" width="11.28515625" style="64" customWidth="1"/>
    <col min="2526" max="2526" width="10.85546875" style="64" customWidth="1"/>
    <col min="2527" max="2527" width="11.5703125" style="64" customWidth="1"/>
    <col min="2528" max="2528" width="12.5703125" style="64" customWidth="1"/>
    <col min="2529" max="2529" width="12.28515625" style="64" customWidth="1"/>
    <col min="2530" max="2530" width="12.140625" style="64" customWidth="1"/>
    <col min="2531" max="2531" width="0" style="64" hidden="1" customWidth="1"/>
    <col min="2532" max="2532" width="11.28515625" style="64" customWidth="1"/>
    <col min="2533" max="2533" width="11.140625" style="64" customWidth="1"/>
    <col min="2534" max="2535" width="0" style="64" hidden="1" customWidth="1"/>
    <col min="2536" max="2536" width="8.85546875" style="64" bestFit="1" customWidth="1"/>
    <col min="2537" max="2774" width="11.42578125" style="64"/>
    <col min="2775" max="2775" width="5.28515625" style="64" customWidth="1"/>
    <col min="2776" max="2776" width="25.42578125" style="64" customWidth="1"/>
    <col min="2777" max="2777" width="13" style="64" customWidth="1"/>
    <col min="2778" max="2778" width="9.5703125" style="64" customWidth="1"/>
    <col min="2779" max="2779" width="12" style="64" customWidth="1"/>
    <col min="2780" max="2780" width="12.28515625" style="64" customWidth="1"/>
    <col min="2781" max="2781" width="11.28515625" style="64" customWidth="1"/>
    <col min="2782" max="2782" width="10.85546875" style="64" customWidth="1"/>
    <col min="2783" max="2783" width="11.5703125" style="64" customWidth="1"/>
    <col min="2784" max="2784" width="12.5703125" style="64" customWidth="1"/>
    <col min="2785" max="2785" width="12.28515625" style="64" customWidth="1"/>
    <col min="2786" max="2786" width="12.140625" style="64" customWidth="1"/>
    <col min="2787" max="2787" width="0" style="64" hidden="1" customWidth="1"/>
    <col min="2788" max="2788" width="11.28515625" style="64" customWidth="1"/>
    <col min="2789" max="2789" width="11.140625" style="64" customWidth="1"/>
    <col min="2790" max="2791" width="0" style="64" hidden="1" customWidth="1"/>
    <col min="2792" max="2792" width="8.85546875" style="64" bestFit="1" customWidth="1"/>
    <col min="2793" max="3030" width="11.42578125" style="64"/>
    <col min="3031" max="3031" width="5.28515625" style="64" customWidth="1"/>
    <col min="3032" max="3032" width="25.42578125" style="64" customWidth="1"/>
    <col min="3033" max="3033" width="13" style="64" customWidth="1"/>
    <col min="3034" max="3034" width="9.5703125" style="64" customWidth="1"/>
    <col min="3035" max="3035" width="12" style="64" customWidth="1"/>
    <col min="3036" max="3036" width="12.28515625" style="64" customWidth="1"/>
    <col min="3037" max="3037" width="11.28515625" style="64" customWidth="1"/>
    <col min="3038" max="3038" width="10.85546875" style="64" customWidth="1"/>
    <col min="3039" max="3039" width="11.5703125" style="64" customWidth="1"/>
    <col min="3040" max="3040" width="12.5703125" style="64" customWidth="1"/>
    <col min="3041" max="3041" width="12.28515625" style="64" customWidth="1"/>
    <col min="3042" max="3042" width="12.140625" style="64" customWidth="1"/>
    <col min="3043" max="3043" width="0" style="64" hidden="1" customWidth="1"/>
    <col min="3044" max="3044" width="11.28515625" style="64" customWidth="1"/>
    <col min="3045" max="3045" width="11.140625" style="64" customWidth="1"/>
    <col min="3046" max="3047" width="0" style="64" hidden="1" customWidth="1"/>
    <col min="3048" max="3048" width="8.85546875" style="64" bestFit="1" customWidth="1"/>
    <col min="3049" max="3286" width="11.42578125" style="64"/>
    <col min="3287" max="3287" width="5.28515625" style="64" customWidth="1"/>
    <col min="3288" max="3288" width="25.42578125" style="64" customWidth="1"/>
    <col min="3289" max="3289" width="13" style="64" customWidth="1"/>
    <col min="3290" max="3290" width="9.5703125" style="64" customWidth="1"/>
    <col min="3291" max="3291" width="12" style="64" customWidth="1"/>
    <col min="3292" max="3292" width="12.28515625" style="64" customWidth="1"/>
    <col min="3293" max="3293" width="11.28515625" style="64" customWidth="1"/>
    <col min="3294" max="3294" width="10.85546875" style="64" customWidth="1"/>
    <col min="3295" max="3295" width="11.5703125" style="64" customWidth="1"/>
    <col min="3296" max="3296" width="12.5703125" style="64" customWidth="1"/>
    <col min="3297" max="3297" width="12.28515625" style="64" customWidth="1"/>
    <col min="3298" max="3298" width="12.140625" style="64" customWidth="1"/>
    <col min="3299" max="3299" width="0" style="64" hidden="1" customWidth="1"/>
    <col min="3300" max="3300" width="11.28515625" style="64" customWidth="1"/>
    <col min="3301" max="3301" width="11.140625" style="64" customWidth="1"/>
    <col min="3302" max="3303" width="0" style="64" hidden="1" customWidth="1"/>
    <col min="3304" max="3304" width="8.85546875" style="64" bestFit="1" customWidth="1"/>
    <col min="3305" max="3542" width="11.42578125" style="64"/>
    <col min="3543" max="3543" width="5.28515625" style="64" customWidth="1"/>
    <col min="3544" max="3544" width="25.42578125" style="64" customWidth="1"/>
    <col min="3545" max="3545" width="13" style="64" customWidth="1"/>
    <col min="3546" max="3546" width="9.5703125" style="64" customWidth="1"/>
    <col min="3547" max="3547" width="12" style="64" customWidth="1"/>
    <col min="3548" max="3548" width="12.28515625" style="64" customWidth="1"/>
    <col min="3549" max="3549" width="11.28515625" style="64" customWidth="1"/>
    <col min="3550" max="3550" width="10.85546875" style="64" customWidth="1"/>
    <col min="3551" max="3551" width="11.5703125" style="64" customWidth="1"/>
    <col min="3552" max="3552" width="12.5703125" style="64" customWidth="1"/>
    <col min="3553" max="3553" width="12.28515625" style="64" customWidth="1"/>
    <col min="3554" max="3554" width="12.140625" style="64" customWidth="1"/>
    <col min="3555" max="3555" width="0" style="64" hidden="1" customWidth="1"/>
    <col min="3556" max="3556" width="11.28515625" style="64" customWidth="1"/>
    <col min="3557" max="3557" width="11.140625" style="64" customWidth="1"/>
    <col min="3558" max="3559" width="0" style="64" hidden="1" customWidth="1"/>
    <col min="3560" max="3560" width="8.85546875" style="64" bestFit="1" customWidth="1"/>
    <col min="3561" max="3798" width="11.42578125" style="64"/>
    <col min="3799" max="3799" width="5.28515625" style="64" customWidth="1"/>
    <col min="3800" max="3800" width="25.42578125" style="64" customWidth="1"/>
    <col min="3801" max="3801" width="13" style="64" customWidth="1"/>
    <col min="3802" max="3802" width="9.5703125" style="64" customWidth="1"/>
    <col min="3803" max="3803" width="12" style="64" customWidth="1"/>
    <col min="3804" max="3804" width="12.28515625" style="64" customWidth="1"/>
    <col min="3805" max="3805" width="11.28515625" style="64" customWidth="1"/>
    <col min="3806" max="3806" width="10.85546875" style="64" customWidth="1"/>
    <col min="3807" max="3807" width="11.5703125" style="64" customWidth="1"/>
    <col min="3808" max="3808" width="12.5703125" style="64" customWidth="1"/>
    <col min="3809" max="3809" width="12.28515625" style="64" customWidth="1"/>
    <col min="3810" max="3810" width="12.140625" style="64" customWidth="1"/>
    <col min="3811" max="3811" width="0" style="64" hidden="1" customWidth="1"/>
    <col min="3812" max="3812" width="11.28515625" style="64" customWidth="1"/>
    <col min="3813" max="3813" width="11.140625" style="64" customWidth="1"/>
    <col min="3814" max="3815" width="0" style="64" hidden="1" customWidth="1"/>
    <col min="3816" max="3816" width="8.85546875" style="64" bestFit="1" customWidth="1"/>
    <col min="3817" max="4054" width="11.42578125" style="64"/>
    <col min="4055" max="4055" width="5.28515625" style="64" customWidth="1"/>
    <col min="4056" max="4056" width="25.42578125" style="64" customWidth="1"/>
    <col min="4057" max="4057" width="13" style="64" customWidth="1"/>
    <col min="4058" max="4058" width="9.5703125" style="64" customWidth="1"/>
    <col min="4059" max="4059" width="12" style="64" customWidth="1"/>
    <col min="4060" max="4060" width="12.28515625" style="64" customWidth="1"/>
    <col min="4061" max="4061" width="11.28515625" style="64" customWidth="1"/>
    <col min="4062" max="4062" width="10.85546875" style="64" customWidth="1"/>
    <col min="4063" max="4063" width="11.5703125" style="64" customWidth="1"/>
    <col min="4064" max="4064" width="12.5703125" style="64" customWidth="1"/>
    <col min="4065" max="4065" width="12.28515625" style="64" customWidth="1"/>
    <col min="4066" max="4066" width="12.140625" style="64" customWidth="1"/>
    <col min="4067" max="4067" width="0" style="64" hidden="1" customWidth="1"/>
    <col min="4068" max="4068" width="11.28515625" style="64" customWidth="1"/>
    <col min="4069" max="4069" width="11.140625" style="64" customWidth="1"/>
    <col min="4070" max="4071" width="0" style="64" hidden="1" customWidth="1"/>
    <col min="4072" max="4072" width="8.85546875" style="64" bestFit="1" customWidth="1"/>
    <col min="4073" max="4310" width="11.42578125" style="64"/>
    <col min="4311" max="4311" width="5.28515625" style="64" customWidth="1"/>
    <col min="4312" max="4312" width="25.42578125" style="64" customWidth="1"/>
    <col min="4313" max="4313" width="13" style="64" customWidth="1"/>
    <col min="4314" max="4314" width="9.5703125" style="64" customWidth="1"/>
    <col min="4315" max="4315" width="12" style="64" customWidth="1"/>
    <col min="4316" max="4316" width="12.28515625" style="64" customWidth="1"/>
    <col min="4317" max="4317" width="11.28515625" style="64" customWidth="1"/>
    <col min="4318" max="4318" width="10.85546875" style="64" customWidth="1"/>
    <col min="4319" max="4319" width="11.5703125" style="64" customWidth="1"/>
    <col min="4320" max="4320" width="12.5703125" style="64" customWidth="1"/>
    <col min="4321" max="4321" width="12.28515625" style="64" customWidth="1"/>
    <col min="4322" max="4322" width="12.140625" style="64" customWidth="1"/>
    <col min="4323" max="4323" width="0" style="64" hidden="1" customWidth="1"/>
    <col min="4324" max="4324" width="11.28515625" style="64" customWidth="1"/>
    <col min="4325" max="4325" width="11.140625" style="64" customWidth="1"/>
    <col min="4326" max="4327" width="0" style="64" hidden="1" customWidth="1"/>
    <col min="4328" max="4328" width="8.85546875" style="64" bestFit="1" customWidth="1"/>
    <col min="4329" max="4566" width="11.42578125" style="64"/>
    <col min="4567" max="4567" width="5.28515625" style="64" customWidth="1"/>
    <col min="4568" max="4568" width="25.42578125" style="64" customWidth="1"/>
    <col min="4569" max="4569" width="13" style="64" customWidth="1"/>
    <col min="4570" max="4570" width="9.5703125" style="64" customWidth="1"/>
    <col min="4571" max="4571" width="12" style="64" customWidth="1"/>
    <col min="4572" max="4572" width="12.28515625" style="64" customWidth="1"/>
    <col min="4573" max="4573" width="11.28515625" style="64" customWidth="1"/>
    <col min="4574" max="4574" width="10.85546875" style="64" customWidth="1"/>
    <col min="4575" max="4575" width="11.5703125" style="64" customWidth="1"/>
    <col min="4576" max="4576" width="12.5703125" style="64" customWidth="1"/>
    <col min="4577" max="4577" width="12.28515625" style="64" customWidth="1"/>
    <col min="4578" max="4578" width="12.140625" style="64" customWidth="1"/>
    <col min="4579" max="4579" width="0" style="64" hidden="1" customWidth="1"/>
    <col min="4580" max="4580" width="11.28515625" style="64" customWidth="1"/>
    <col min="4581" max="4581" width="11.140625" style="64" customWidth="1"/>
    <col min="4582" max="4583" width="0" style="64" hidden="1" customWidth="1"/>
    <col min="4584" max="4584" width="8.85546875" style="64" bestFit="1" customWidth="1"/>
    <col min="4585" max="4822" width="11.42578125" style="64"/>
    <col min="4823" max="4823" width="5.28515625" style="64" customWidth="1"/>
    <col min="4824" max="4824" width="25.42578125" style="64" customWidth="1"/>
    <col min="4825" max="4825" width="13" style="64" customWidth="1"/>
    <col min="4826" max="4826" width="9.5703125" style="64" customWidth="1"/>
    <col min="4827" max="4827" width="12" style="64" customWidth="1"/>
    <col min="4828" max="4828" width="12.28515625" style="64" customWidth="1"/>
    <col min="4829" max="4829" width="11.28515625" style="64" customWidth="1"/>
    <col min="4830" max="4830" width="10.85546875" style="64" customWidth="1"/>
    <col min="4831" max="4831" width="11.5703125" style="64" customWidth="1"/>
    <col min="4832" max="4832" width="12.5703125" style="64" customWidth="1"/>
    <col min="4833" max="4833" width="12.28515625" style="64" customWidth="1"/>
    <col min="4834" max="4834" width="12.140625" style="64" customWidth="1"/>
    <col min="4835" max="4835" width="0" style="64" hidden="1" customWidth="1"/>
    <col min="4836" max="4836" width="11.28515625" style="64" customWidth="1"/>
    <col min="4837" max="4837" width="11.140625" style="64" customWidth="1"/>
    <col min="4838" max="4839" width="0" style="64" hidden="1" customWidth="1"/>
    <col min="4840" max="4840" width="8.85546875" style="64" bestFit="1" customWidth="1"/>
    <col min="4841" max="5078" width="11.42578125" style="64"/>
    <col min="5079" max="5079" width="5.28515625" style="64" customWidth="1"/>
    <col min="5080" max="5080" width="25.42578125" style="64" customWidth="1"/>
    <col min="5081" max="5081" width="13" style="64" customWidth="1"/>
    <col min="5082" max="5082" width="9.5703125" style="64" customWidth="1"/>
    <col min="5083" max="5083" width="12" style="64" customWidth="1"/>
    <col min="5084" max="5084" width="12.28515625" style="64" customWidth="1"/>
    <col min="5085" max="5085" width="11.28515625" style="64" customWidth="1"/>
    <col min="5086" max="5086" width="10.85546875" style="64" customWidth="1"/>
    <col min="5087" max="5087" width="11.5703125" style="64" customWidth="1"/>
    <col min="5088" max="5088" width="12.5703125" style="64" customWidth="1"/>
    <col min="5089" max="5089" width="12.28515625" style="64" customWidth="1"/>
    <col min="5090" max="5090" width="12.140625" style="64" customWidth="1"/>
    <col min="5091" max="5091" width="0" style="64" hidden="1" customWidth="1"/>
    <col min="5092" max="5092" width="11.28515625" style="64" customWidth="1"/>
    <col min="5093" max="5093" width="11.140625" style="64" customWidth="1"/>
    <col min="5094" max="5095" width="0" style="64" hidden="1" customWidth="1"/>
    <col min="5096" max="5096" width="8.85546875" style="64" bestFit="1" customWidth="1"/>
    <col min="5097" max="5334" width="11.42578125" style="64"/>
    <col min="5335" max="5335" width="5.28515625" style="64" customWidth="1"/>
    <col min="5336" max="5336" width="25.42578125" style="64" customWidth="1"/>
    <col min="5337" max="5337" width="13" style="64" customWidth="1"/>
    <col min="5338" max="5338" width="9.5703125" style="64" customWidth="1"/>
    <col min="5339" max="5339" width="12" style="64" customWidth="1"/>
    <col min="5340" max="5340" width="12.28515625" style="64" customWidth="1"/>
    <col min="5341" max="5341" width="11.28515625" style="64" customWidth="1"/>
    <col min="5342" max="5342" width="10.85546875" style="64" customWidth="1"/>
    <col min="5343" max="5343" width="11.5703125" style="64" customWidth="1"/>
    <col min="5344" max="5344" width="12.5703125" style="64" customWidth="1"/>
    <col min="5345" max="5345" width="12.28515625" style="64" customWidth="1"/>
    <col min="5346" max="5346" width="12.140625" style="64" customWidth="1"/>
    <col min="5347" max="5347" width="0" style="64" hidden="1" customWidth="1"/>
    <col min="5348" max="5348" width="11.28515625" style="64" customWidth="1"/>
    <col min="5349" max="5349" width="11.140625" style="64" customWidth="1"/>
    <col min="5350" max="5351" width="0" style="64" hidden="1" customWidth="1"/>
    <col min="5352" max="5352" width="8.85546875" style="64" bestFit="1" customWidth="1"/>
    <col min="5353" max="5590" width="11.42578125" style="64"/>
    <col min="5591" max="5591" width="5.28515625" style="64" customWidth="1"/>
    <col min="5592" max="5592" width="25.42578125" style="64" customWidth="1"/>
    <col min="5593" max="5593" width="13" style="64" customWidth="1"/>
    <col min="5594" max="5594" width="9.5703125" style="64" customWidth="1"/>
    <col min="5595" max="5595" width="12" style="64" customWidth="1"/>
    <col min="5596" max="5596" width="12.28515625" style="64" customWidth="1"/>
    <col min="5597" max="5597" width="11.28515625" style="64" customWidth="1"/>
    <col min="5598" max="5598" width="10.85546875" style="64" customWidth="1"/>
    <col min="5599" max="5599" width="11.5703125" style="64" customWidth="1"/>
    <col min="5600" max="5600" width="12.5703125" style="64" customWidth="1"/>
    <col min="5601" max="5601" width="12.28515625" style="64" customWidth="1"/>
    <col min="5602" max="5602" width="12.140625" style="64" customWidth="1"/>
    <col min="5603" max="5603" width="0" style="64" hidden="1" customWidth="1"/>
    <col min="5604" max="5604" width="11.28515625" style="64" customWidth="1"/>
    <col min="5605" max="5605" width="11.140625" style="64" customWidth="1"/>
    <col min="5606" max="5607" width="0" style="64" hidden="1" customWidth="1"/>
    <col min="5608" max="5608" width="8.85546875" style="64" bestFit="1" customWidth="1"/>
    <col min="5609" max="5846" width="11.42578125" style="64"/>
    <col min="5847" max="5847" width="5.28515625" style="64" customWidth="1"/>
    <col min="5848" max="5848" width="25.42578125" style="64" customWidth="1"/>
    <col min="5849" max="5849" width="13" style="64" customWidth="1"/>
    <col min="5850" max="5850" width="9.5703125" style="64" customWidth="1"/>
    <col min="5851" max="5851" width="12" style="64" customWidth="1"/>
    <col min="5852" max="5852" width="12.28515625" style="64" customWidth="1"/>
    <col min="5853" max="5853" width="11.28515625" style="64" customWidth="1"/>
    <col min="5854" max="5854" width="10.85546875" style="64" customWidth="1"/>
    <col min="5855" max="5855" width="11.5703125" style="64" customWidth="1"/>
    <col min="5856" max="5856" width="12.5703125" style="64" customWidth="1"/>
    <col min="5857" max="5857" width="12.28515625" style="64" customWidth="1"/>
    <col min="5858" max="5858" width="12.140625" style="64" customWidth="1"/>
    <col min="5859" max="5859" width="0" style="64" hidden="1" customWidth="1"/>
    <col min="5860" max="5860" width="11.28515625" style="64" customWidth="1"/>
    <col min="5861" max="5861" width="11.140625" style="64" customWidth="1"/>
    <col min="5862" max="5863" width="0" style="64" hidden="1" customWidth="1"/>
    <col min="5864" max="5864" width="8.85546875" style="64" bestFit="1" customWidth="1"/>
    <col min="5865" max="6102" width="11.42578125" style="64"/>
    <col min="6103" max="6103" width="5.28515625" style="64" customWidth="1"/>
    <col min="6104" max="6104" width="25.42578125" style="64" customWidth="1"/>
    <col min="6105" max="6105" width="13" style="64" customWidth="1"/>
    <col min="6106" max="6106" width="9.5703125" style="64" customWidth="1"/>
    <col min="6107" max="6107" width="12" style="64" customWidth="1"/>
    <col min="6108" max="6108" width="12.28515625" style="64" customWidth="1"/>
    <col min="6109" max="6109" width="11.28515625" style="64" customWidth="1"/>
    <col min="6110" max="6110" width="10.85546875" style="64" customWidth="1"/>
    <col min="6111" max="6111" width="11.5703125" style="64" customWidth="1"/>
    <col min="6112" max="6112" width="12.5703125" style="64" customWidth="1"/>
    <col min="6113" max="6113" width="12.28515625" style="64" customWidth="1"/>
    <col min="6114" max="6114" width="12.140625" style="64" customWidth="1"/>
    <col min="6115" max="6115" width="0" style="64" hidden="1" customWidth="1"/>
    <col min="6116" max="6116" width="11.28515625" style="64" customWidth="1"/>
    <col min="6117" max="6117" width="11.140625" style="64" customWidth="1"/>
    <col min="6118" max="6119" width="0" style="64" hidden="1" customWidth="1"/>
    <col min="6120" max="6120" width="8.85546875" style="64" bestFit="1" customWidth="1"/>
    <col min="6121" max="6358" width="11.42578125" style="64"/>
    <col min="6359" max="6359" width="5.28515625" style="64" customWidth="1"/>
    <col min="6360" max="6360" width="25.42578125" style="64" customWidth="1"/>
    <col min="6361" max="6361" width="13" style="64" customWidth="1"/>
    <col min="6362" max="6362" width="9.5703125" style="64" customWidth="1"/>
    <col min="6363" max="6363" width="12" style="64" customWidth="1"/>
    <col min="6364" max="6364" width="12.28515625" style="64" customWidth="1"/>
    <col min="6365" max="6365" width="11.28515625" style="64" customWidth="1"/>
    <col min="6366" max="6366" width="10.85546875" style="64" customWidth="1"/>
    <col min="6367" max="6367" width="11.5703125" style="64" customWidth="1"/>
    <col min="6368" max="6368" width="12.5703125" style="64" customWidth="1"/>
    <col min="6369" max="6369" width="12.28515625" style="64" customWidth="1"/>
    <col min="6370" max="6370" width="12.140625" style="64" customWidth="1"/>
    <col min="6371" max="6371" width="0" style="64" hidden="1" customWidth="1"/>
    <col min="6372" max="6372" width="11.28515625" style="64" customWidth="1"/>
    <col min="6373" max="6373" width="11.140625" style="64" customWidth="1"/>
    <col min="6374" max="6375" width="0" style="64" hidden="1" customWidth="1"/>
    <col min="6376" max="6376" width="8.85546875" style="64" bestFit="1" customWidth="1"/>
    <col min="6377" max="6614" width="11.42578125" style="64"/>
    <col min="6615" max="6615" width="5.28515625" style="64" customWidth="1"/>
    <col min="6616" max="6616" width="25.42578125" style="64" customWidth="1"/>
    <col min="6617" max="6617" width="13" style="64" customWidth="1"/>
    <col min="6618" max="6618" width="9.5703125" style="64" customWidth="1"/>
    <col min="6619" max="6619" width="12" style="64" customWidth="1"/>
    <col min="6620" max="6620" width="12.28515625" style="64" customWidth="1"/>
    <col min="6621" max="6621" width="11.28515625" style="64" customWidth="1"/>
    <col min="6622" max="6622" width="10.85546875" style="64" customWidth="1"/>
    <col min="6623" max="6623" width="11.5703125" style="64" customWidth="1"/>
    <col min="6624" max="6624" width="12.5703125" style="64" customWidth="1"/>
    <col min="6625" max="6625" width="12.28515625" style="64" customWidth="1"/>
    <col min="6626" max="6626" width="12.140625" style="64" customWidth="1"/>
    <col min="6627" max="6627" width="0" style="64" hidden="1" customWidth="1"/>
    <col min="6628" max="6628" width="11.28515625" style="64" customWidth="1"/>
    <col min="6629" max="6629" width="11.140625" style="64" customWidth="1"/>
    <col min="6630" max="6631" width="0" style="64" hidden="1" customWidth="1"/>
    <col min="6632" max="6632" width="8.85546875" style="64" bestFit="1" customWidth="1"/>
    <col min="6633" max="6870" width="11.42578125" style="64"/>
    <col min="6871" max="6871" width="5.28515625" style="64" customWidth="1"/>
    <col min="6872" max="6872" width="25.42578125" style="64" customWidth="1"/>
    <col min="6873" max="6873" width="13" style="64" customWidth="1"/>
    <col min="6874" max="6874" width="9.5703125" style="64" customWidth="1"/>
    <col min="6875" max="6875" width="12" style="64" customWidth="1"/>
    <col min="6876" max="6876" width="12.28515625" style="64" customWidth="1"/>
    <col min="6877" max="6877" width="11.28515625" style="64" customWidth="1"/>
    <col min="6878" max="6878" width="10.85546875" style="64" customWidth="1"/>
    <col min="6879" max="6879" width="11.5703125" style="64" customWidth="1"/>
    <col min="6880" max="6880" width="12.5703125" style="64" customWidth="1"/>
    <col min="6881" max="6881" width="12.28515625" style="64" customWidth="1"/>
    <col min="6882" max="6882" width="12.140625" style="64" customWidth="1"/>
    <col min="6883" max="6883" width="0" style="64" hidden="1" customWidth="1"/>
    <col min="6884" max="6884" width="11.28515625" style="64" customWidth="1"/>
    <col min="6885" max="6885" width="11.140625" style="64" customWidth="1"/>
    <col min="6886" max="6887" width="0" style="64" hidden="1" customWidth="1"/>
    <col min="6888" max="6888" width="8.85546875" style="64" bestFit="1" customWidth="1"/>
    <col min="6889" max="7126" width="11.42578125" style="64"/>
    <col min="7127" max="7127" width="5.28515625" style="64" customWidth="1"/>
    <col min="7128" max="7128" width="25.42578125" style="64" customWidth="1"/>
    <col min="7129" max="7129" width="13" style="64" customWidth="1"/>
    <col min="7130" max="7130" width="9.5703125" style="64" customWidth="1"/>
    <col min="7131" max="7131" width="12" style="64" customWidth="1"/>
    <col min="7132" max="7132" width="12.28515625" style="64" customWidth="1"/>
    <col min="7133" max="7133" width="11.28515625" style="64" customWidth="1"/>
    <col min="7134" max="7134" width="10.85546875" style="64" customWidth="1"/>
    <col min="7135" max="7135" width="11.5703125" style="64" customWidth="1"/>
    <col min="7136" max="7136" width="12.5703125" style="64" customWidth="1"/>
    <col min="7137" max="7137" width="12.28515625" style="64" customWidth="1"/>
    <col min="7138" max="7138" width="12.140625" style="64" customWidth="1"/>
    <col min="7139" max="7139" width="0" style="64" hidden="1" customWidth="1"/>
    <col min="7140" max="7140" width="11.28515625" style="64" customWidth="1"/>
    <col min="7141" max="7141" width="11.140625" style="64" customWidth="1"/>
    <col min="7142" max="7143" width="0" style="64" hidden="1" customWidth="1"/>
    <col min="7144" max="7144" width="8.85546875" style="64" bestFit="1" customWidth="1"/>
    <col min="7145" max="7382" width="11.42578125" style="64"/>
    <col min="7383" max="7383" width="5.28515625" style="64" customWidth="1"/>
    <col min="7384" max="7384" width="25.42578125" style="64" customWidth="1"/>
    <col min="7385" max="7385" width="13" style="64" customWidth="1"/>
    <col min="7386" max="7386" width="9.5703125" style="64" customWidth="1"/>
    <col min="7387" max="7387" width="12" style="64" customWidth="1"/>
    <col min="7388" max="7388" width="12.28515625" style="64" customWidth="1"/>
    <col min="7389" max="7389" width="11.28515625" style="64" customWidth="1"/>
    <col min="7390" max="7390" width="10.85546875" style="64" customWidth="1"/>
    <col min="7391" max="7391" width="11.5703125" style="64" customWidth="1"/>
    <col min="7392" max="7392" width="12.5703125" style="64" customWidth="1"/>
    <col min="7393" max="7393" width="12.28515625" style="64" customWidth="1"/>
    <col min="7394" max="7394" width="12.140625" style="64" customWidth="1"/>
    <col min="7395" max="7395" width="0" style="64" hidden="1" customWidth="1"/>
    <col min="7396" max="7396" width="11.28515625" style="64" customWidth="1"/>
    <col min="7397" max="7397" width="11.140625" style="64" customWidth="1"/>
    <col min="7398" max="7399" width="0" style="64" hidden="1" customWidth="1"/>
    <col min="7400" max="7400" width="8.85546875" style="64" bestFit="1" customWidth="1"/>
    <col min="7401" max="7638" width="11.42578125" style="64"/>
    <col min="7639" max="7639" width="5.28515625" style="64" customWidth="1"/>
    <col min="7640" max="7640" width="25.42578125" style="64" customWidth="1"/>
    <col min="7641" max="7641" width="13" style="64" customWidth="1"/>
    <col min="7642" max="7642" width="9.5703125" style="64" customWidth="1"/>
    <col min="7643" max="7643" width="12" style="64" customWidth="1"/>
    <col min="7644" max="7644" width="12.28515625" style="64" customWidth="1"/>
    <col min="7645" max="7645" width="11.28515625" style="64" customWidth="1"/>
    <col min="7646" max="7646" width="10.85546875" style="64" customWidth="1"/>
    <col min="7647" max="7647" width="11.5703125" style="64" customWidth="1"/>
    <col min="7648" max="7648" width="12.5703125" style="64" customWidth="1"/>
    <col min="7649" max="7649" width="12.28515625" style="64" customWidth="1"/>
    <col min="7650" max="7650" width="12.140625" style="64" customWidth="1"/>
    <col min="7651" max="7651" width="0" style="64" hidden="1" customWidth="1"/>
    <col min="7652" max="7652" width="11.28515625" style="64" customWidth="1"/>
    <col min="7653" max="7653" width="11.140625" style="64" customWidth="1"/>
    <col min="7654" max="7655" width="0" style="64" hidden="1" customWidth="1"/>
    <col min="7656" max="7656" width="8.85546875" style="64" bestFit="1" customWidth="1"/>
    <col min="7657" max="7894" width="11.42578125" style="64"/>
    <col min="7895" max="7895" width="5.28515625" style="64" customWidth="1"/>
    <col min="7896" max="7896" width="25.42578125" style="64" customWidth="1"/>
    <col min="7897" max="7897" width="13" style="64" customWidth="1"/>
    <col min="7898" max="7898" width="9.5703125" style="64" customWidth="1"/>
    <col min="7899" max="7899" width="12" style="64" customWidth="1"/>
    <col min="7900" max="7900" width="12.28515625" style="64" customWidth="1"/>
    <col min="7901" max="7901" width="11.28515625" style="64" customWidth="1"/>
    <col min="7902" max="7902" width="10.85546875" style="64" customWidth="1"/>
    <col min="7903" max="7903" width="11.5703125" style="64" customWidth="1"/>
    <col min="7904" max="7904" width="12.5703125" style="64" customWidth="1"/>
    <col min="7905" max="7905" width="12.28515625" style="64" customWidth="1"/>
    <col min="7906" max="7906" width="12.140625" style="64" customWidth="1"/>
    <col min="7907" max="7907" width="0" style="64" hidden="1" customWidth="1"/>
    <col min="7908" max="7908" width="11.28515625" style="64" customWidth="1"/>
    <col min="7909" max="7909" width="11.140625" style="64" customWidth="1"/>
    <col min="7910" max="7911" width="0" style="64" hidden="1" customWidth="1"/>
    <col min="7912" max="7912" width="8.85546875" style="64" bestFit="1" customWidth="1"/>
    <col min="7913" max="8150" width="11.42578125" style="64"/>
    <col min="8151" max="8151" width="5.28515625" style="64" customWidth="1"/>
    <col min="8152" max="8152" width="25.42578125" style="64" customWidth="1"/>
    <col min="8153" max="8153" width="13" style="64" customWidth="1"/>
    <col min="8154" max="8154" width="9.5703125" style="64" customWidth="1"/>
    <col min="8155" max="8155" width="12" style="64" customWidth="1"/>
    <col min="8156" max="8156" width="12.28515625" style="64" customWidth="1"/>
    <col min="8157" max="8157" width="11.28515625" style="64" customWidth="1"/>
    <col min="8158" max="8158" width="10.85546875" style="64" customWidth="1"/>
    <col min="8159" max="8159" width="11.5703125" style="64" customWidth="1"/>
    <col min="8160" max="8160" width="12.5703125" style="64" customWidth="1"/>
    <col min="8161" max="8161" width="12.28515625" style="64" customWidth="1"/>
    <col min="8162" max="8162" width="12.140625" style="64" customWidth="1"/>
    <col min="8163" max="8163" width="0" style="64" hidden="1" customWidth="1"/>
    <col min="8164" max="8164" width="11.28515625" style="64" customWidth="1"/>
    <col min="8165" max="8165" width="11.140625" style="64" customWidth="1"/>
    <col min="8166" max="8167" width="0" style="64" hidden="1" customWidth="1"/>
    <col min="8168" max="8168" width="8.85546875" style="64" bestFit="1" customWidth="1"/>
    <col min="8169" max="8406" width="11.42578125" style="64"/>
    <col min="8407" max="8407" width="5.28515625" style="64" customWidth="1"/>
    <col min="8408" max="8408" width="25.42578125" style="64" customWidth="1"/>
    <col min="8409" max="8409" width="13" style="64" customWidth="1"/>
    <col min="8410" max="8410" width="9.5703125" style="64" customWidth="1"/>
    <col min="8411" max="8411" width="12" style="64" customWidth="1"/>
    <col min="8412" max="8412" width="12.28515625" style="64" customWidth="1"/>
    <col min="8413" max="8413" width="11.28515625" style="64" customWidth="1"/>
    <col min="8414" max="8414" width="10.85546875" style="64" customWidth="1"/>
    <col min="8415" max="8415" width="11.5703125" style="64" customWidth="1"/>
    <col min="8416" max="8416" width="12.5703125" style="64" customWidth="1"/>
    <col min="8417" max="8417" width="12.28515625" style="64" customWidth="1"/>
    <col min="8418" max="8418" width="12.140625" style="64" customWidth="1"/>
    <col min="8419" max="8419" width="0" style="64" hidden="1" customWidth="1"/>
    <col min="8420" max="8420" width="11.28515625" style="64" customWidth="1"/>
    <col min="8421" max="8421" width="11.140625" style="64" customWidth="1"/>
    <col min="8422" max="8423" width="0" style="64" hidden="1" customWidth="1"/>
    <col min="8424" max="8424" width="8.85546875" style="64" bestFit="1" customWidth="1"/>
    <col min="8425" max="8662" width="11.42578125" style="64"/>
    <col min="8663" max="8663" width="5.28515625" style="64" customWidth="1"/>
    <col min="8664" max="8664" width="25.42578125" style="64" customWidth="1"/>
    <col min="8665" max="8665" width="13" style="64" customWidth="1"/>
    <col min="8666" max="8666" width="9.5703125" style="64" customWidth="1"/>
    <col min="8667" max="8667" width="12" style="64" customWidth="1"/>
    <col min="8668" max="8668" width="12.28515625" style="64" customWidth="1"/>
    <col min="8669" max="8669" width="11.28515625" style="64" customWidth="1"/>
    <col min="8670" max="8670" width="10.85546875" style="64" customWidth="1"/>
    <col min="8671" max="8671" width="11.5703125" style="64" customWidth="1"/>
    <col min="8672" max="8672" width="12.5703125" style="64" customWidth="1"/>
    <col min="8673" max="8673" width="12.28515625" style="64" customWidth="1"/>
    <col min="8674" max="8674" width="12.140625" style="64" customWidth="1"/>
    <col min="8675" max="8675" width="0" style="64" hidden="1" customWidth="1"/>
    <col min="8676" max="8676" width="11.28515625" style="64" customWidth="1"/>
    <col min="8677" max="8677" width="11.140625" style="64" customWidth="1"/>
    <col min="8678" max="8679" width="0" style="64" hidden="1" customWidth="1"/>
    <col min="8680" max="8680" width="8.85546875" style="64" bestFit="1" customWidth="1"/>
    <col min="8681" max="8918" width="11.42578125" style="64"/>
    <col min="8919" max="8919" width="5.28515625" style="64" customWidth="1"/>
    <col min="8920" max="8920" width="25.42578125" style="64" customWidth="1"/>
    <col min="8921" max="8921" width="13" style="64" customWidth="1"/>
    <col min="8922" max="8922" width="9.5703125" style="64" customWidth="1"/>
    <col min="8923" max="8923" width="12" style="64" customWidth="1"/>
    <col min="8924" max="8924" width="12.28515625" style="64" customWidth="1"/>
    <col min="8925" max="8925" width="11.28515625" style="64" customWidth="1"/>
    <col min="8926" max="8926" width="10.85546875" style="64" customWidth="1"/>
    <col min="8927" max="8927" width="11.5703125" style="64" customWidth="1"/>
    <col min="8928" max="8928" width="12.5703125" style="64" customWidth="1"/>
    <col min="8929" max="8929" width="12.28515625" style="64" customWidth="1"/>
    <col min="8930" max="8930" width="12.140625" style="64" customWidth="1"/>
    <col min="8931" max="8931" width="0" style="64" hidden="1" customWidth="1"/>
    <col min="8932" max="8932" width="11.28515625" style="64" customWidth="1"/>
    <col min="8933" max="8933" width="11.140625" style="64" customWidth="1"/>
    <col min="8934" max="8935" width="0" style="64" hidden="1" customWidth="1"/>
    <col min="8936" max="8936" width="8.85546875" style="64" bestFit="1" customWidth="1"/>
    <col min="8937" max="9174" width="11.42578125" style="64"/>
    <col min="9175" max="9175" width="5.28515625" style="64" customWidth="1"/>
    <col min="9176" max="9176" width="25.42578125" style="64" customWidth="1"/>
    <col min="9177" max="9177" width="13" style="64" customWidth="1"/>
    <col min="9178" max="9178" width="9.5703125" style="64" customWidth="1"/>
    <col min="9179" max="9179" width="12" style="64" customWidth="1"/>
    <col min="9180" max="9180" width="12.28515625" style="64" customWidth="1"/>
    <col min="9181" max="9181" width="11.28515625" style="64" customWidth="1"/>
    <col min="9182" max="9182" width="10.85546875" style="64" customWidth="1"/>
    <col min="9183" max="9183" width="11.5703125" style="64" customWidth="1"/>
    <col min="9184" max="9184" width="12.5703125" style="64" customWidth="1"/>
    <col min="9185" max="9185" width="12.28515625" style="64" customWidth="1"/>
    <col min="9186" max="9186" width="12.140625" style="64" customWidth="1"/>
    <col min="9187" max="9187" width="0" style="64" hidden="1" customWidth="1"/>
    <col min="9188" max="9188" width="11.28515625" style="64" customWidth="1"/>
    <col min="9189" max="9189" width="11.140625" style="64" customWidth="1"/>
    <col min="9190" max="9191" width="0" style="64" hidden="1" customWidth="1"/>
    <col min="9192" max="9192" width="8.85546875" style="64" bestFit="1" customWidth="1"/>
    <col min="9193" max="9430" width="11.42578125" style="64"/>
    <col min="9431" max="9431" width="5.28515625" style="64" customWidth="1"/>
    <col min="9432" max="9432" width="25.42578125" style="64" customWidth="1"/>
    <col min="9433" max="9433" width="13" style="64" customWidth="1"/>
    <col min="9434" max="9434" width="9.5703125" style="64" customWidth="1"/>
    <col min="9435" max="9435" width="12" style="64" customWidth="1"/>
    <col min="9436" max="9436" width="12.28515625" style="64" customWidth="1"/>
    <col min="9437" max="9437" width="11.28515625" style="64" customWidth="1"/>
    <col min="9438" max="9438" width="10.85546875" style="64" customWidth="1"/>
    <col min="9439" max="9439" width="11.5703125" style="64" customWidth="1"/>
    <col min="9440" max="9440" width="12.5703125" style="64" customWidth="1"/>
    <col min="9441" max="9441" width="12.28515625" style="64" customWidth="1"/>
    <col min="9442" max="9442" width="12.140625" style="64" customWidth="1"/>
    <col min="9443" max="9443" width="0" style="64" hidden="1" customWidth="1"/>
    <col min="9444" max="9444" width="11.28515625" style="64" customWidth="1"/>
    <col min="9445" max="9445" width="11.140625" style="64" customWidth="1"/>
    <col min="9446" max="9447" width="0" style="64" hidden="1" customWidth="1"/>
    <col min="9448" max="9448" width="8.85546875" style="64" bestFit="1" customWidth="1"/>
    <col min="9449" max="9686" width="11.42578125" style="64"/>
    <col min="9687" max="9687" width="5.28515625" style="64" customWidth="1"/>
    <col min="9688" max="9688" width="25.42578125" style="64" customWidth="1"/>
    <col min="9689" max="9689" width="13" style="64" customWidth="1"/>
    <col min="9690" max="9690" width="9.5703125" style="64" customWidth="1"/>
    <col min="9691" max="9691" width="12" style="64" customWidth="1"/>
    <col min="9692" max="9692" width="12.28515625" style="64" customWidth="1"/>
    <col min="9693" max="9693" width="11.28515625" style="64" customWidth="1"/>
    <col min="9694" max="9694" width="10.85546875" style="64" customWidth="1"/>
    <col min="9695" max="9695" width="11.5703125" style="64" customWidth="1"/>
    <col min="9696" max="9696" width="12.5703125" style="64" customWidth="1"/>
    <col min="9697" max="9697" width="12.28515625" style="64" customWidth="1"/>
    <col min="9698" max="9698" width="12.140625" style="64" customWidth="1"/>
    <col min="9699" max="9699" width="0" style="64" hidden="1" customWidth="1"/>
    <col min="9700" max="9700" width="11.28515625" style="64" customWidth="1"/>
    <col min="9701" max="9701" width="11.140625" style="64" customWidth="1"/>
    <col min="9702" max="9703" width="0" style="64" hidden="1" customWidth="1"/>
    <col min="9704" max="9704" width="8.85546875" style="64" bestFit="1" customWidth="1"/>
    <col min="9705" max="9942" width="11.42578125" style="64"/>
    <col min="9943" max="9943" width="5.28515625" style="64" customWidth="1"/>
    <col min="9944" max="9944" width="25.42578125" style="64" customWidth="1"/>
    <col min="9945" max="9945" width="13" style="64" customWidth="1"/>
    <col min="9946" max="9946" width="9.5703125" style="64" customWidth="1"/>
    <col min="9947" max="9947" width="12" style="64" customWidth="1"/>
    <col min="9948" max="9948" width="12.28515625" style="64" customWidth="1"/>
    <col min="9949" max="9949" width="11.28515625" style="64" customWidth="1"/>
    <col min="9950" max="9950" width="10.85546875" style="64" customWidth="1"/>
    <col min="9951" max="9951" width="11.5703125" style="64" customWidth="1"/>
    <col min="9952" max="9952" width="12.5703125" style="64" customWidth="1"/>
    <col min="9953" max="9953" width="12.28515625" style="64" customWidth="1"/>
    <col min="9954" max="9954" width="12.140625" style="64" customWidth="1"/>
    <col min="9955" max="9955" width="0" style="64" hidden="1" customWidth="1"/>
    <col min="9956" max="9956" width="11.28515625" style="64" customWidth="1"/>
    <col min="9957" max="9957" width="11.140625" style="64" customWidth="1"/>
    <col min="9958" max="9959" width="0" style="64" hidden="1" customWidth="1"/>
    <col min="9960" max="9960" width="8.85546875" style="64" bestFit="1" customWidth="1"/>
    <col min="9961" max="10198" width="11.42578125" style="64"/>
    <col min="10199" max="10199" width="5.28515625" style="64" customWidth="1"/>
    <col min="10200" max="10200" width="25.42578125" style="64" customWidth="1"/>
    <col min="10201" max="10201" width="13" style="64" customWidth="1"/>
    <col min="10202" max="10202" width="9.5703125" style="64" customWidth="1"/>
    <col min="10203" max="10203" width="12" style="64" customWidth="1"/>
    <col min="10204" max="10204" width="12.28515625" style="64" customWidth="1"/>
    <col min="10205" max="10205" width="11.28515625" style="64" customWidth="1"/>
    <col min="10206" max="10206" width="10.85546875" style="64" customWidth="1"/>
    <col min="10207" max="10207" width="11.5703125" style="64" customWidth="1"/>
    <col min="10208" max="10208" width="12.5703125" style="64" customWidth="1"/>
    <col min="10209" max="10209" width="12.28515625" style="64" customWidth="1"/>
    <col min="10210" max="10210" width="12.140625" style="64" customWidth="1"/>
    <col min="10211" max="10211" width="0" style="64" hidden="1" customWidth="1"/>
    <col min="10212" max="10212" width="11.28515625" style="64" customWidth="1"/>
    <col min="10213" max="10213" width="11.140625" style="64" customWidth="1"/>
    <col min="10214" max="10215" width="0" style="64" hidden="1" customWidth="1"/>
    <col min="10216" max="10216" width="8.85546875" style="64" bestFit="1" customWidth="1"/>
    <col min="10217" max="10454" width="11.42578125" style="64"/>
    <col min="10455" max="10455" width="5.28515625" style="64" customWidth="1"/>
    <col min="10456" max="10456" width="25.42578125" style="64" customWidth="1"/>
    <col min="10457" max="10457" width="13" style="64" customWidth="1"/>
    <col min="10458" max="10458" width="9.5703125" style="64" customWidth="1"/>
    <col min="10459" max="10459" width="12" style="64" customWidth="1"/>
    <col min="10460" max="10460" width="12.28515625" style="64" customWidth="1"/>
    <col min="10461" max="10461" width="11.28515625" style="64" customWidth="1"/>
    <col min="10462" max="10462" width="10.85546875" style="64" customWidth="1"/>
    <col min="10463" max="10463" width="11.5703125" style="64" customWidth="1"/>
    <col min="10464" max="10464" width="12.5703125" style="64" customWidth="1"/>
    <col min="10465" max="10465" width="12.28515625" style="64" customWidth="1"/>
    <col min="10466" max="10466" width="12.140625" style="64" customWidth="1"/>
    <col min="10467" max="10467" width="0" style="64" hidden="1" customWidth="1"/>
    <col min="10468" max="10468" width="11.28515625" style="64" customWidth="1"/>
    <col min="10469" max="10469" width="11.140625" style="64" customWidth="1"/>
    <col min="10470" max="10471" width="0" style="64" hidden="1" customWidth="1"/>
    <col min="10472" max="10472" width="8.85546875" style="64" bestFit="1" customWidth="1"/>
    <col min="10473" max="10710" width="11.42578125" style="64"/>
    <col min="10711" max="10711" width="5.28515625" style="64" customWidth="1"/>
    <col min="10712" max="10712" width="25.42578125" style="64" customWidth="1"/>
    <col min="10713" max="10713" width="13" style="64" customWidth="1"/>
    <col min="10714" max="10714" width="9.5703125" style="64" customWidth="1"/>
    <col min="10715" max="10715" width="12" style="64" customWidth="1"/>
    <col min="10716" max="10716" width="12.28515625" style="64" customWidth="1"/>
    <col min="10717" max="10717" width="11.28515625" style="64" customWidth="1"/>
    <col min="10718" max="10718" width="10.85546875" style="64" customWidth="1"/>
    <col min="10719" max="10719" width="11.5703125" style="64" customWidth="1"/>
    <col min="10720" max="10720" width="12.5703125" style="64" customWidth="1"/>
    <col min="10721" max="10721" width="12.28515625" style="64" customWidth="1"/>
    <col min="10722" max="10722" width="12.140625" style="64" customWidth="1"/>
    <col min="10723" max="10723" width="0" style="64" hidden="1" customWidth="1"/>
    <col min="10724" max="10724" width="11.28515625" style="64" customWidth="1"/>
    <col min="10725" max="10725" width="11.140625" style="64" customWidth="1"/>
    <col min="10726" max="10727" width="0" style="64" hidden="1" customWidth="1"/>
    <col min="10728" max="10728" width="8.85546875" style="64" bestFit="1" customWidth="1"/>
    <col min="10729" max="10966" width="11.42578125" style="64"/>
    <col min="10967" max="10967" width="5.28515625" style="64" customWidth="1"/>
    <col min="10968" max="10968" width="25.42578125" style="64" customWidth="1"/>
    <col min="10969" max="10969" width="13" style="64" customWidth="1"/>
    <col min="10970" max="10970" width="9.5703125" style="64" customWidth="1"/>
    <col min="10971" max="10971" width="12" style="64" customWidth="1"/>
    <col min="10972" max="10972" width="12.28515625" style="64" customWidth="1"/>
    <col min="10973" max="10973" width="11.28515625" style="64" customWidth="1"/>
    <col min="10974" max="10974" width="10.85546875" style="64" customWidth="1"/>
    <col min="10975" max="10975" width="11.5703125" style="64" customWidth="1"/>
    <col min="10976" max="10976" width="12.5703125" style="64" customWidth="1"/>
    <col min="10977" max="10977" width="12.28515625" style="64" customWidth="1"/>
    <col min="10978" max="10978" width="12.140625" style="64" customWidth="1"/>
    <col min="10979" max="10979" width="0" style="64" hidden="1" customWidth="1"/>
    <col min="10980" max="10980" width="11.28515625" style="64" customWidth="1"/>
    <col min="10981" max="10981" width="11.140625" style="64" customWidth="1"/>
    <col min="10982" max="10983" width="0" style="64" hidden="1" customWidth="1"/>
    <col min="10984" max="10984" width="8.85546875" style="64" bestFit="1" customWidth="1"/>
    <col min="10985" max="11222" width="11.42578125" style="64"/>
    <col min="11223" max="11223" width="5.28515625" style="64" customWidth="1"/>
    <col min="11224" max="11224" width="25.42578125" style="64" customWidth="1"/>
    <col min="11225" max="11225" width="13" style="64" customWidth="1"/>
    <col min="11226" max="11226" width="9.5703125" style="64" customWidth="1"/>
    <col min="11227" max="11227" width="12" style="64" customWidth="1"/>
    <col min="11228" max="11228" width="12.28515625" style="64" customWidth="1"/>
    <col min="11229" max="11229" width="11.28515625" style="64" customWidth="1"/>
    <col min="11230" max="11230" width="10.85546875" style="64" customWidth="1"/>
    <col min="11231" max="11231" width="11.5703125" style="64" customWidth="1"/>
    <col min="11232" max="11232" width="12.5703125" style="64" customWidth="1"/>
    <col min="11233" max="11233" width="12.28515625" style="64" customWidth="1"/>
    <col min="11234" max="11234" width="12.140625" style="64" customWidth="1"/>
    <col min="11235" max="11235" width="0" style="64" hidden="1" customWidth="1"/>
    <col min="11236" max="11236" width="11.28515625" style="64" customWidth="1"/>
    <col min="11237" max="11237" width="11.140625" style="64" customWidth="1"/>
    <col min="11238" max="11239" width="0" style="64" hidden="1" customWidth="1"/>
    <col min="11240" max="11240" width="8.85546875" style="64" bestFit="1" customWidth="1"/>
    <col min="11241" max="11478" width="11.42578125" style="64"/>
    <col min="11479" max="11479" width="5.28515625" style="64" customWidth="1"/>
    <col min="11480" max="11480" width="25.42578125" style="64" customWidth="1"/>
    <col min="11481" max="11481" width="13" style="64" customWidth="1"/>
    <col min="11482" max="11482" width="9.5703125" style="64" customWidth="1"/>
    <col min="11483" max="11483" width="12" style="64" customWidth="1"/>
    <col min="11484" max="11484" width="12.28515625" style="64" customWidth="1"/>
    <col min="11485" max="11485" width="11.28515625" style="64" customWidth="1"/>
    <col min="11486" max="11486" width="10.85546875" style="64" customWidth="1"/>
    <col min="11487" max="11487" width="11.5703125" style="64" customWidth="1"/>
    <col min="11488" max="11488" width="12.5703125" style="64" customWidth="1"/>
    <col min="11489" max="11489" width="12.28515625" style="64" customWidth="1"/>
    <col min="11490" max="11490" width="12.140625" style="64" customWidth="1"/>
    <col min="11491" max="11491" width="0" style="64" hidden="1" customWidth="1"/>
    <col min="11492" max="11492" width="11.28515625" style="64" customWidth="1"/>
    <col min="11493" max="11493" width="11.140625" style="64" customWidth="1"/>
    <col min="11494" max="11495" width="0" style="64" hidden="1" customWidth="1"/>
    <col min="11496" max="11496" width="8.85546875" style="64" bestFit="1" customWidth="1"/>
    <col min="11497" max="11734" width="11.42578125" style="64"/>
    <col min="11735" max="11735" width="5.28515625" style="64" customWidth="1"/>
    <col min="11736" max="11736" width="25.42578125" style="64" customWidth="1"/>
    <col min="11737" max="11737" width="13" style="64" customWidth="1"/>
    <col min="11738" max="11738" width="9.5703125" style="64" customWidth="1"/>
    <col min="11739" max="11739" width="12" style="64" customWidth="1"/>
    <col min="11740" max="11740" width="12.28515625" style="64" customWidth="1"/>
    <col min="11741" max="11741" width="11.28515625" style="64" customWidth="1"/>
    <col min="11742" max="11742" width="10.85546875" style="64" customWidth="1"/>
    <col min="11743" max="11743" width="11.5703125" style="64" customWidth="1"/>
    <col min="11744" max="11744" width="12.5703125" style="64" customWidth="1"/>
    <col min="11745" max="11745" width="12.28515625" style="64" customWidth="1"/>
    <col min="11746" max="11746" width="12.140625" style="64" customWidth="1"/>
    <col min="11747" max="11747" width="0" style="64" hidden="1" customWidth="1"/>
    <col min="11748" max="11748" width="11.28515625" style="64" customWidth="1"/>
    <col min="11749" max="11749" width="11.140625" style="64" customWidth="1"/>
    <col min="11750" max="11751" width="0" style="64" hidden="1" customWidth="1"/>
    <col min="11752" max="11752" width="8.85546875" style="64" bestFit="1" customWidth="1"/>
    <col min="11753" max="11990" width="11.42578125" style="64"/>
    <col min="11991" max="11991" width="5.28515625" style="64" customWidth="1"/>
    <col min="11992" max="11992" width="25.42578125" style="64" customWidth="1"/>
    <col min="11993" max="11993" width="13" style="64" customWidth="1"/>
    <col min="11994" max="11994" width="9.5703125" style="64" customWidth="1"/>
    <col min="11995" max="11995" width="12" style="64" customWidth="1"/>
    <col min="11996" max="11996" width="12.28515625" style="64" customWidth="1"/>
    <col min="11997" max="11997" width="11.28515625" style="64" customWidth="1"/>
    <col min="11998" max="11998" width="10.85546875" style="64" customWidth="1"/>
    <col min="11999" max="11999" width="11.5703125" style="64" customWidth="1"/>
    <col min="12000" max="12000" width="12.5703125" style="64" customWidth="1"/>
    <col min="12001" max="12001" width="12.28515625" style="64" customWidth="1"/>
    <col min="12002" max="12002" width="12.140625" style="64" customWidth="1"/>
    <col min="12003" max="12003" width="0" style="64" hidden="1" customWidth="1"/>
    <col min="12004" max="12004" width="11.28515625" style="64" customWidth="1"/>
    <col min="12005" max="12005" width="11.140625" style="64" customWidth="1"/>
    <col min="12006" max="12007" width="0" style="64" hidden="1" customWidth="1"/>
    <col min="12008" max="12008" width="8.85546875" style="64" bestFit="1" customWidth="1"/>
    <col min="12009" max="12246" width="11.42578125" style="64"/>
    <col min="12247" max="12247" width="5.28515625" style="64" customWidth="1"/>
    <col min="12248" max="12248" width="25.42578125" style="64" customWidth="1"/>
    <col min="12249" max="12249" width="13" style="64" customWidth="1"/>
    <col min="12250" max="12250" width="9.5703125" style="64" customWidth="1"/>
    <col min="12251" max="12251" width="12" style="64" customWidth="1"/>
    <col min="12252" max="12252" width="12.28515625" style="64" customWidth="1"/>
    <col min="12253" max="12253" width="11.28515625" style="64" customWidth="1"/>
    <col min="12254" max="12254" width="10.85546875" style="64" customWidth="1"/>
    <col min="12255" max="12255" width="11.5703125" style="64" customWidth="1"/>
    <col min="12256" max="12256" width="12.5703125" style="64" customWidth="1"/>
    <col min="12257" max="12257" width="12.28515625" style="64" customWidth="1"/>
    <col min="12258" max="12258" width="12.140625" style="64" customWidth="1"/>
    <col min="12259" max="12259" width="0" style="64" hidden="1" customWidth="1"/>
    <col min="12260" max="12260" width="11.28515625" style="64" customWidth="1"/>
    <col min="12261" max="12261" width="11.140625" style="64" customWidth="1"/>
    <col min="12262" max="12263" width="0" style="64" hidden="1" customWidth="1"/>
    <col min="12264" max="12264" width="8.85546875" style="64" bestFit="1" customWidth="1"/>
    <col min="12265" max="12502" width="11.42578125" style="64"/>
    <col min="12503" max="12503" width="5.28515625" style="64" customWidth="1"/>
    <col min="12504" max="12504" width="25.42578125" style="64" customWidth="1"/>
    <col min="12505" max="12505" width="13" style="64" customWidth="1"/>
    <col min="12506" max="12506" width="9.5703125" style="64" customWidth="1"/>
    <col min="12507" max="12507" width="12" style="64" customWidth="1"/>
    <col min="12508" max="12508" width="12.28515625" style="64" customWidth="1"/>
    <col min="12509" max="12509" width="11.28515625" style="64" customWidth="1"/>
    <col min="12510" max="12510" width="10.85546875" style="64" customWidth="1"/>
    <col min="12511" max="12511" width="11.5703125" style="64" customWidth="1"/>
    <col min="12512" max="12512" width="12.5703125" style="64" customWidth="1"/>
    <col min="12513" max="12513" width="12.28515625" style="64" customWidth="1"/>
    <col min="12514" max="12514" width="12.140625" style="64" customWidth="1"/>
    <col min="12515" max="12515" width="0" style="64" hidden="1" customWidth="1"/>
    <col min="12516" max="12516" width="11.28515625" style="64" customWidth="1"/>
    <col min="12517" max="12517" width="11.140625" style="64" customWidth="1"/>
    <col min="12518" max="12519" width="0" style="64" hidden="1" customWidth="1"/>
    <col min="12520" max="12520" width="8.85546875" style="64" bestFit="1" customWidth="1"/>
    <col min="12521" max="12758" width="11.42578125" style="64"/>
    <col min="12759" max="12759" width="5.28515625" style="64" customWidth="1"/>
    <col min="12760" max="12760" width="25.42578125" style="64" customWidth="1"/>
    <col min="12761" max="12761" width="13" style="64" customWidth="1"/>
    <col min="12762" max="12762" width="9.5703125" style="64" customWidth="1"/>
    <col min="12763" max="12763" width="12" style="64" customWidth="1"/>
    <col min="12764" max="12764" width="12.28515625" style="64" customWidth="1"/>
    <col min="12765" max="12765" width="11.28515625" style="64" customWidth="1"/>
    <col min="12766" max="12766" width="10.85546875" style="64" customWidth="1"/>
    <col min="12767" max="12767" width="11.5703125" style="64" customWidth="1"/>
    <col min="12768" max="12768" width="12.5703125" style="64" customWidth="1"/>
    <col min="12769" max="12769" width="12.28515625" style="64" customWidth="1"/>
    <col min="12770" max="12770" width="12.140625" style="64" customWidth="1"/>
    <col min="12771" max="12771" width="0" style="64" hidden="1" customWidth="1"/>
    <col min="12772" max="12772" width="11.28515625" style="64" customWidth="1"/>
    <col min="12773" max="12773" width="11.140625" style="64" customWidth="1"/>
    <col min="12774" max="12775" width="0" style="64" hidden="1" customWidth="1"/>
    <col min="12776" max="12776" width="8.85546875" style="64" bestFit="1" customWidth="1"/>
    <col min="12777" max="13014" width="11.42578125" style="64"/>
    <col min="13015" max="13015" width="5.28515625" style="64" customWidth="1"/>
    <col min="13016" max="13016" width="25.42578125" style="64" customWidth="1"/>
    <col min="13017" max="13017" width="13" style="64" customWidth="1"/>
    <col min="13018" max="13018" width="9.5703125" style="64" customWidth="1"/>
    <col min="13019" max="13019" width="12" style="64" customWidth="1"/>
    <col min="13020" max="13020" width="12.28515625" style="64" customWidth="1"/>
    <col min="13021" max="13021" width="11.28515625" style="64" customWidth="1"/>
    <col min="13022" max="13022" width="10.85546875" style="64" customWidth="1"/>
    <col min="13023" max="13023" width="11.5703125" style="64" customWidth="1"/>
    <col min="13024" max="13024" width="12.5703125" style="64" customWidth="1"/>
    <col min="13025" max="13025" width="12.28515625" style="64" customWidth="1"/>
    <col min="13026" max="13026" width="12.140625" style="64" customWidth="1"/>
    <col min="13027" max="13027" width="0" style="64" hidden="1" customWidth="1"/>
    <col min="13028" max="13028" width="11.28515625" style="64" customWidth="1"/>
    <col min="13029" max="13029" width="11.140625" style="64" customWidth="1"/>
    <col min="13030" max="13031" width="0" style="64" hidden="1" customWidth="1"/>
    <col min="13032" max="13032" width="8.85546875" style="64" bestFit="1" customWidth="1"/>
    <col min="13033" max="13270" width="11.42578125" style="64"/>
    <col min="13271" max="13271" width="5.28515625" style="64" customWidth="1"/>
    <col min="13272" max="13272" width="25.42578125" style="64" customWidth="1"/>
    <col min="13273" max="13273" width="13" style="64" customWidth="1"/>
    <col min="13274" max="13274" width="9.5703125" style="64" customWidth="1"/>
    <col min="13275" max="13275" width="12" style="64" customWidth="1"/>
    <col min="13276" max="13276" width="12.28515625" style="64" customWidth="1"/>
    <col min="13277" max="13277" width="11.28515625" style="64" customWidth="1"/>
    <col min="13278" max="13278" width="10.85546875" style="64" customWidth="1"/>
    <col min="13279" max="13279" width="11.5703125" style="64" customWidth="1"/>
    <col min="13280" max="13280" width="12.5703125" style="64" customWidth="1"/>
    <col min="13281" max="13281" width="12.28515625" style="64" customWidth="1"/>
    <col min="13282" max="13282" width="12.140625" style="64" customWidth="1"/>
    <col min="13283" max="13283" width="0" style="64" hidden="1" customWidth="1"/>
    <col min="13284" max="13284" width="11.28515625" style="64" customWidth="1"/>
    <col min="13285" max="13285" width="11.140625" style="64" customWidth="1"/>
    <col min="13286" max="13287" width="0" style="64" hidden="1" customWidth="1"/>
    <col min="13288" max="13288" width="8.85546875" style="64" bestFit="1" customWidth="1"/>
    <col min="13289" max="13526" width="11.42578125" style="64"/>
    <col min="13527" max="13527" width="5.28515625" style="64" customWidth="1"/>
    <col min="13528" max="13528" width="25.42578125" style="64" customWidth="1"/>
    <col min="13529" max="13529" width="13" style="64" customWidth="1"/>
    <col min="13530" max="13530" width="9.5703125" style="64" customWidth="1"/>
    <col min="13531" max="13531" width="12" style="64" customWidth="1"/>
    <col min="13532" max="13532" width="12.28515625" style="64" customWidth="1"/>
    <col min="13533" max="13533" width="11.28515625" style="64" customWidth="1"/>
    <col min="13534" max="13534" width="10.85546875" style="64" customWidth="1"/>
    <col min="13535" max="13535" width="11.5703125" style="64" customWidth="1"/>
    <col min="13536" max="13536" width="12.5703125" style="64" customWidth="1"/>
    <col min="13537" max="13537" width="12.28515625" style="64" customWidth="1"/>
    <col min="13538" max="13538" width="12.140625" style="64" customWidth="1"/>
    <col min="13539" max="13539" width="0" style="64" hidden="1" customWidth="1"/>
    <col min="13540" max="13540" width="11.28515625" style="64" customWidth="1"/>
    <col min="13541" max="13541" width="11.140625" style="64" customWidth="1"/>
    <col min="13542" max="13543" width="0" style="64" hidden="1" customWidth="1"/>
    <col min="13544" max="13544" width="8.85546875" style="64" bestFit="1" customWidth="1"/>
    <col min="13545" max="13782" width="11.42578125" style="64"/>
    <col min="13783" max="13783" width="5.28515625" style="64" customWidth="1"/>
    <col min="13784" max="13784" width="25.42578125" style="64" customWidth="1"/>
    <col min="13785" max="13785" width="13" style="64" customWidth="1"/>
    <col min="13786" max="13786" width="9.5703125" style="64" customWidth="1"/>
    <col min="13787" max="13787" width="12" style="64" customWidth="1"/>
    <col min="13788" max="13788" width="12.28515625" style="64" customWidth="1"/>
    <col min="13789" max="13789" width="11.28515625" style="64" customWidth="1"/>
    <col min="13790" max="13790" width="10.85546875" style="64" customWidth="1"/>
    <col min="13791" max="13791" width="11.5703125" style="64" customWidth="1"/>
    <col min="13792" max="13792" width="12.5703125" style="64" customWidth="1"/>
    <col min="13793" max="13793" width="12.28515625" style="64" customWidth="1"/>
    <col min="13794" max="13794" width="12.140625" style="64" customWidth="1"/>
    <col min="13795" max="13795" width="0" style="64" hidden="1" customWidth="1"/>
    <col min="13796" max="13796" width="11.28515625" style="64" customWidth="1"/>
    <col min="13797" max="13797" width="11.140625" style="64" customWidth="1"/>
    <col min="13798" max="13799" width="0" style="64" hidden="1" customWidth="1"/>
    <col min="13800" max="13800" width="8.85546875" style="64" bestFit="1" customWidth="1"/>
    <col min="13801" max="14038" width="11.42578125" style="64"/>
    <col min="14039" max="14039" width="5.28515625" style="64" customWidth="1"/>
    <col min="14040" max="14040" width="25.42578125" style="64" customWidth="1"/>
    <col min="14041" max="14041" width="13" style="64" customWidth="1"/>
    <col min="14042" max="14042" width="9.5703125" style="64" customWidth="1"/>
    <col min="14043" max="14043" width="12" style="64" customWidth="1"/>
    <col min="14044" max="14044" width="12.28515625" style="64" customWidth="1"/>
    <col min="14045" max="14045" width="11.28515625" style="64" customWidth="1"/>
    <col min="14046" max="14046" width="10.85546875" style="64" customWidth="1"/>
    <col min="14047" max="14047" width="11.5703125" style="64" customWidth="1"/>
    <col min="14048" max="14048" width="12.5703125" style="64" customWidth="1"/>
    <col min="14049" max="14049" width="12.28515625" style="64" customWidth="1"/>
    <col min="14050" max="14050" width="12.140625" style="64" customWidth="1"/>
    <col min="14051" max="14051" width="0" style="64" hidden="1" customWidth="1"/>
    <col min="14052" max="14052" width="11.28515625" style="64" customWidth="1"/>
    <col min="14053" max="14053" width="11.140625" style="64" customWidth="1"/>
    <col min="14054" max="14055" width="0" style="64" hidden="1" customWidth="1"/>
    <col min="14056" max="14056" width="8.85546875" style="64" bestFit="1" customWidth="1"/>
    <col min="14057" max="14294" width="11.42578125" style="64"/>
    <col min="14295" max="14295" width="5.28515625" style="64" customWidth="1"/>
    <col min="14296" max="14296" width="25.42578125" style="64" customWidth="1"/>
    <col min="14297" max="14297" width="13" style="64" customWidth="1"/>
    <col min="14298" max="14298" width="9.5703125" style="64" customWidth="1"/>
    <col min="14299" max="14299" width="12" style="64" customWidth="1"/>
    <col min="14300" max="14300" width="12.28515625" style="64" customWidth="1"/>
    <col min="14301" max="14301" width="11.28515625" style="64" customWidth="1"/>
    <col min="14302" max="14302" width="10.85546875" style="64" customWidth="1"/>
    <col min="14303" max="14303" width="11.5703125" style="64" customWidth="1"/>
    <col min="14304" max="14304" width="12.5703125" style="64" customWidth="1"/>
    <col min="14305" max="14305" width="12.28515625" style="64" customWidth="1"/>
    <col min="14306" max="14306" width="12.140625" style="64" customWidth="1"/>
    <col min="14307" max="14307" width="0" style="64" hidden="1" customWidth="1"/>
    <col min="14308" max="14308" width="11.28515625" style="64" customWidth="1"/>
    <col min="14309" max="14309" width="11.140625" style="64" customWidth="1"/>
    <col min="14310" max="14311" width="0" style="64" hidden="1" customWidth="1"/>
    <col min="14312" max="14312" width="8.85546875" style="64" bestFit="1" customWidth="1"/>
    <col min="14313" max="14550" width="11.42578125" style="64"/>
    <col min="14551" max="14551" width="5.28515625" style="64" customWidth="1"/>
    <col min="14552" max="14552" width="25.42578125" style="64" customWidth="1"/>
    <col min="14553" max="14553" width="13" style="64" customWidth="1"/>
    <col min="14554" max="14554" width="9.5703125" style="64" customWidth="1"/>
    <col min="14555" max="14555" width="12" style="64" customWidth="1"/>
    <col min="14556" max="14556" width="12.28515625" style="64" customWidth="1"/>
    <col min="14557" max="14557" width="11.28515625" style="64" customWidth="1"/>
    <col min="14558" max="14558" width="10.85546875" style="64" customWidth="1"/>
    <col min="14559" max="14559" width="11.5703125" style="64" customWidth="1"/>
    <col min="14560" max="14560" width="12.5703125" style="64" customWidth="1"/>
    <col min="14561" max="14561" width="12.28515625" style="64" customWidth="1"/>
    <col min="14562" max="14562" width="12.140625" style="64" customWidth="1"/>
    <col min="14563" max="14563" width="0" style="64" hidden="1" customWidth="1"/>
    <col min="14564" max="14564" width="11.28515625" style="64" customWidth="1"/>
    <col min="14565" max="14565" width="11.140625" style="64" customWidth="1"/>
    <col min="14566" max="14567" width="0" style="64" hidden="1" customWidth="1"/>
    <col min="14568" max="14568" width="8.85546875" style="64" bestFit="1" customWidth="1"/>
    <col min="14569" max="14806" width="11.42578125" style="64"/>
    <col min="14807" max="14807" width="5.28515625" style="64" customWidth="1"/>
    <col min="14808" max="14808" width="25.42578125" style="64" customWidth="1"/>
    <col min="14809" max="14809" width="13" style="64" customWidth="1"/>
    <col min="14810" max="14810" width="9.5703125" style="64" customWidth="1"/>
    <col min="14811" max="14811" width="12" style="64" customWidth="1"/>
    <col min="14812" max="14812" width="12.28515625" style="64" customWidth="1"/>
    <col min="14813" max="14813" width="11.28515625" style="64" customWidth="1"/>
    <col min="14814" max="14814" width="10.85546875" style="64" customWidth="1"/>
    <col min="14815" max="14815" width="11.5703125" style="64" customWidth="1"/>
    <col min="14816" max="14816" width="12.5703125" style="64" customWidth="1"/>
    <col min="14817" max="14817" width="12.28515625" style="64" customWidth="1"/>
    <col min="14818" max="14818" width="12.140625" style="64" customWidth="1"/>
    <col min="14819" max="14819" width="0" style="64" hidden="1" customWidth="1"/>
    <col min="14820" max="14820" width="11.28515625" style="64" customWidth="1"/>
    <col min="14821" max="14821" width="11.140625" style="64" customWidth="1"/>
    <col min="14822" max="14823" width="0" style="64" hidden="1" customWidth="1"/>
    <col min="14824" max="14824" width="8.85546875" style="64" bestFit="1" customWidth="1"/>
    <col min="14825" max="15062" width="11.42578125" style="64"/>
    <col min="15063" max="15063" width="5.28515625" style="64" customWidth="1"/>
    <col min="15064" max="15064" width="25.42578125" style="64" customWidth="1"/>
    <col min="15065" max="15065" width="13" style="64" customWidth="1"/>
    <col min="15066" max="15066" width="9.5703125" style="64" customWidth="1"/>
    <col min="15067" max="15067" width="12" style="64" customWidth="1"/>
    <col min="15068" max="15068" width="12.28515625" style="64" customWidth="1"/>
    <col min="15069" max="15069" width="11.28515625" style="64" customWidth="1"/>
    <col min="15070" max="15070" width="10.85546875" style="64" customWidth="1"/>
    <col min="15071" max="15071" width="11.5703125" style="64" customWidth="1"/>
    <col min="15072" max="15072" width="12.5703125" style="64" customWidth="1"/>
    <col min="15073" max="15073" width="12.28515625" style="64" customWidth="1"/>
    <col min="15074" max="15074" width="12.140625" style="64" customWidth="1"/>
    <col min="15075" max="15075" width="0" style="64" hidden="1" customWidth="1"/>
    <col min="15076" max="15076" width="11.28515625" style="64" customWidth="1"/>
    <col min="15077" max="15077" width="11.140625" style="64" customWidth="1"/>
    <col min="15078" max="15079" width="0" style="64" hidden="1" customWidth="1"/>
    <col min="15080" max="15080" width="8.85546875" style="64" bestFit="1" customWidth="1"/>
    <col min="15081" max="15318" width="11.42578125" style="64"/>
    <col min="15319" max="15319" width="5.28515625" style="64" customWidth="1"/>
    <col min="15320" max="15320" width="25.42578125" style="64" customWidth="1"/>
    <col min="15321" max="15321" width="13" style="64" customWidth="1"/>
    <col min="15322" max="15322" width="9.5703125" style="64" customWidth="1"/>
    <col min="15323" max="15323" width="12" style="64" customWidth="1"/>
    <col min="15324" max="15324" width="12.28515625" style="64" customWidth="1"/>
    <col min="15325" max="15325" width="11.28515625" style="64" customWidth="1"/>
    <col min="15326" max="15326" width="10.85546875" style="64" customWidth="1"/>
    <col min="15327" max="15327" width="11.5703125" style="64" customWidth="1"/>
    <col min="15328" max="15328" width="12.5703125" style="64" customWidth="1"/>
    <col min="15329" max="15329" width="12.28515625" style="64" customWidth="1"/>
    <col min="15330" max="15330" width="12.140625" style="64" customWidth="1"/>
    <col min="15331" max="15331" width="0" style="64" hidden="1" customWidth="1"/>
    <col min="15332" max="15332" width="11.28515625" style="64" customWidth="1"/>
    <col min="15333" max="15333" width="11.140625" style="64" customWidth="1"/>
    <col min="15334" max="15335" width="0" style="64" hidden="1" customWidth="1"/>
    <col min="15336" max="15336" width="8.85546875" style="64" bestFit="1" customWidth="1"/>
    <col min="15337" max="15574" width="11.42578125" style="64"/>
    <col min="15575" max="15575" width="5.28515625" style="64" customWidth="1"/>
    <col min="15576" max="15576" width="25.42578125" style="64" customWidth="1"/>
    <col min="15577" max="15577" width="13" style="64" customWidth="1"/>
    <col min="15578" max="15578" width="9.5703125" style="64" customWidth="1"/>
    <col min="15579" max="15579" width="12" style="64" customWidth="1"/>
    <col min="15580" max="15580" width="12.28515625" style="64" customWidth="1"/>
    <col min="15581" max="15581" width="11.28515625" style="64" customWidth="1"/>
    <col min="15582" max="15582" width="10.85546875" style="64" customWidth="1"/>
    <col min="15583" max="15583" width="11.5703125" style="64" customWidth="1"/>
    <col min="15584" max="15584" width="12.5703125" style="64" customWidth="1"/>
    <col min="15585" max="15585" width="12.28515625" style="64" customWidth="1"/>
    <col min="15586" max="15586" width="12.140625" style="64" customWidth="1"/>
    <col min="15587" max="15587" width="0" style="64" hidden="1" customWidth="1"/>
    <col min="15588" max="15588" width="11.28515625" style="64" customWidth="1"/>
    <col min="15589" max="15589" width="11.140625" style="64" customWidth="1"/>
    <col min="15590" max="15591" width="0" style="64" hidden="1" customWidth="1"/>
    <col min="15592" max="15592" width="8.85546875" style="64" bestFit="1" customWidth="1"/>
    <col min="15593" max="15830" width="11.42578125" style="64"/>
    <col min="15831" max="15831" width="5.28515625" style="64" customWidth="1"/>
    <col min="15832" max="15832" width="25.42578125" style="64" customWidth="1"/>
    <col min="15833" max="15833" width="13" style="64" customWidth="1"/>
    <col min="15834" max="15834" width="9.5703125" style="64" customWidth="1"/>
    <col min="15835" max="15835" width="12" style="64" customWidth="1"/>
    <col min="15836" max="15836" width="12.28515625" style="64" customWidth="1"/>
    <col min="15837" max="15837" width="11.28515625" style="64" customWidth="1"/>
    <col min="15838" max="15838" width="10.85546875" style="64" customWidth="1"/>
    <col min="15839" max="15839" width="11.5703125" style="64" customWidth="1"/>
    <col min="15840" max="15840" width="12.5703125" style="64" customWidth="1"/>
    <col min="15841" max="15841" width="12.28515625" style="64" customWidth="1"/>
    <col min="15842" max="15842" width="12.140625" style="64" customWidth="1"/>
    <col min="15843" max="15843" width="0" style="64" hidden="1" customWidth="1"/>
    <col min="15844" max="15844" width="11.28515625" style="64" customWidth="1"/>
    <col min="15845" max="15845" width="11.140625" style="64" customWidth="1"/>
    <col min="15846" max="15847" width="0" style="64" hidden="1" customWidth="1"/>
    <col min="15848" max="15848" width="8.85546875" style="64" bestFit="1" customWidth="1"/>
    <col min="15849" max="16086" width="11.42578125" style="64"/>
    <col min="16087" max="16087" width="5.28515625" style="64" customWidth="1"/>
    <col min="16088" max="16088" width="25.42578125" style="64" customWidth="1"/>
    <col min="16089" max="16089" width="13" style="64" customWidth="1"/>
    <col min="16090" max="16090" width="9.5703125" style="64" customWidth="1"/>
    <col min="16091" max="16091" width="12" style="64" customWidth="1"/>
    <col min="16092" max="16092" width="12.28515625" style="64" customWidth="1"/>
    <col min="16093" max="16093" width="11.28515625" style="64" customWidth="1"/>
    <col min="16094" max="16094" width="10.85546875" style="64" customWidth="1"/>
    <col min="16095" max="16095" width="11.5703125" style="64" customWidth="1"/>
    <col min="16096" max="16096" width="12.5703125" style="64" customWidth="1"/>
    <col min="16097" max="16097" width="12.28515625" style="64" customWidth="1"/>
    <col min="16098" max="16098" width="12.140625" style="64" customWidth="1"/>
    <col min="16099" max="16099" width="0" style="64" hidden="1" customWidth="1"/>
    <col min="16100" max="16100" width="11.28515625" style="64" customWidth="1"/>
    <col min="16101" max="16101" width="11.140625" style="64" customWidth="1"/>
    <col min="16102" max="16103" width="0" style="64" hidden="1" customWidth="1"/>
    <col min="16104" max="16104" width="8.85546875" style="64" bestFit="1" customWidth="1"/>
    <col min="16105" max="16384" width="11.42578125" style="64"/>
  </cols>
  <sheetData>
    <row r="1" spans="2:21" s="62" customFormat="1" ht="29.45" customHeight="1" x14ac:dyDescent="0.25">
      <c r="B1" s="223" t="s">
        <v>2</v>
      </c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2:21" s="62" customFormat="1" ht="21" customHeight="1" x14ac:dyDescent="0.25">
      <c r="B2" s="224" t="s">
        <v>138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</row>
    <row r="3" spans="2:21" s="62" customFormat="1" ht="21" customHeight="1" x14ac:dyDescent="0.25">
      <c r="B3" s="224" t="s">
        <v>157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</row>
    <row r="4" spans="2:21" s="62" customForma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81"/>
      <c r="R4" s="181"/>
      <c r="S4" s="63"/>
      <c r="T4" s="63"/>
    </row>
    <row r="5" spans="2:21" ht="18" customHeight="1" x14ac:dyDescent="0.25">
      <c r="B5" s="225" t="s">
        <v>23</v>
      </c>
      <c r="C5" s="228" t="s">
        <v>24</v>
      </c>
      <c r="D5" s="228" t="s">
        <v>25</v>
      </c>
      <c r="E5" s="268" t="s">
        <v>26</v>
      </c>
      <c r="F5" s="272"/>
      <c r="G5" s="272"/>
      <c r="H5" s="272"/>
      <c r="I5" s="272"/>
      <c r="J5" s="270"/>
      <c r="K5" s="231" t="s">
        <v>70</v>
      </c>
      <c r="L5" s="232"/>
      <c r="M5" s="232"/>
      <c r="N5" s="232"/>
      <c r="O5" s="232"/>
      <c r="P5" s="232"/>
      <c r="Q5" s="232"/>
      <c r="R5" s="232"/>
      <c r="S5" s="232"/>
      <c r="T5" s="232"/>
      <c r="U5" s="233"/>
    </row>
    <row r="6" spans="2:21" ht="26.25" customHeight="1" x14ac:dyDescent="0.25">
      <c r="B6" s="226"/>
      <c r="C6" s="229"/>
      <c r="D6" s="229"/>
      <c r="E6" s="269"/>
      <c r="F6" s="273"/>
      <c r="G6" s="273"/>
      <c r="H6" s="273"/>
      <c r="I6" s="273"/>
      <c r="J6" s="271"/>
      <c r="K6" s="228" t="s">
        <v>31</v>
      </c>
      <c r="L6" s="228" t="s">
        <v>32</v>
      </c>
      <c r="M6" s="228" t="s">
        <v>33</v>
      </c>
      <c r="N6" s="231" t="s">
        <v>131</v>
      </c>
      <c r="O6" s="232"/>
      <c r="P6" s="216" t="s">
        <v>34</v>
      </c>
      <c r="Q6" s="216" t="s">
        <v>67</v>
      </c>
      <c r="R6" s="216" t="s">
        <v>113</v>
      </c>
      <c r="S6" s="216" t="s">
        <v>38</v>
      </c>
      <c r="T6" s="216"/>
      <c r="U6" s="216" t="s">
        <v>39</v>
      </c>
    </row>
    <row r="7" spans="2:21" ht="18" customHeight="1" x14ac:dyDescent="0.25">
      <c r="B7" s="226"/>
      <c r="C7" s="229"/>
      <c r="D7" s="229"/>
      <c r="E7" s="216" t="s">
        <v>71</v>
      </c>
      <c r="F7" s="216"/>
      <c r="G7" s="228" t="s">
        <v>108</v>
      </c>
      <c r="H7" s="228" t="s">
        <v>29</v>
      </c>
      <c r="I7" s="216" t="s">
        <v>30</v>
      </c>
      <c r="J7" s="216"/>
      <c r="K7" s="229"/>
      <c r="L7" s="229"/>
      <c r="M7" s="229"/>
      <c r="N7" s="228" t="s">
        <v>132</v>
      </c>
      <c r="O7" s="228" t="s">
        <v>133</v>
      </c>
      <c r="P7" s="216"/>
      <c r="Q7" s="216"/>
      <c r="R7" s="216"/>
      <c r="S7" s="216"/>
      <c r="T7" s="216"/>
      <c r="U7" s="216"/>
    </row>
    <row r="8" spans="2:21" ht="18" customHeight="1" x14ac:dyDescent="0.25">
      <c r="B8" s="227"/>
      <c r="C8" s="230"/>
      <c r="D8" s="230"/>
      <c r="E8" s="163" t="s">
        <v>31</v>
      </c>
      <c r="F8" s="135" t="s">
        <v>134</v>
      </c>
      <c r="G8" s="230"/>
      <c r="H8" s="230"/>
      <c r="I8" s="163" t="s">
        <v>40</v>
      </c>
      <c r="J8" s="163" t="s">
        <v>0</v>
      </c>
      <c r="K8" s="230"/>
      <c r="L8" s="230"/>
      <c r="M8" s="230"/>
      <c r="N8" s="230"/>
      <c r="O8" s="230"/>
      <c r="P8" s="216"/>
      <c r="Q8" s="216"/>
      <c r="R8" s="216"/>
      <c r="S8" s="163" t="s">
        <v>41</v>
      </c>
      <c r="T8" s="163" t="s">
        <v>0</v>
      </c>
      <c r="U8" s="216"/>
    </row>
    <row r="9" spans="2:21" s="67" customFormat="1" ht="38.25" customHeight="1" x14ac:dyDescent="0.25">
      <c r="B9" s="175">
        <v>1</v>
      </c>
      <c r="C9" s="27" t="s">
        <v>121</v>
      </c>
      <c r="D9" s="65" t="s">
        <v>88</v>
      </c>
      <c r="E9" s="65">
        <v>63</v>
      </c>
      <c r="F9" s="29">
        <v>63</v>
      </c>
      <c r="G9" s="29">
        <v>0</v>
      </c>
      <c r="H9" s="29">
        <v>0</v>
      </c>
      <c r="I9" s="29">
        <f t="shared" ref="I9:I20" si="0">H9-G9</f>
        <v>0</v>
      </c>
      <c r="J9" s="146" t="e">
        <f>(H9/G9)-1</f>
        <v>#DIV/0!</v>
      </c>
      <c r="K9" s="84">
        <v>284184.13</v>
      </c>
      <c r="L9" s="84">
        <v>0</v>
      </c>
      <c r="M9" s="84">
        <v>0</v>
      </c>
      <c r="N9" s="84">
        <v>0</v>
      </c>
      <c r="O9" s="84">
        <v>0</v>
      </c>
      <c r="P9" s="88">
        <f>K9+L9+N9-M9-O9</f>
        <v>284184.13</v>
      </c>
      <c r="Q9" s="84">
        <v>16256</v>
      </c>
      <c r="R9" s="84">
        <v>30737</v>
      </c>
      <c r="S9" s="122">
        <f t="shared" ref="S9:S20" si="1">Q9-R9</f>
        <v>-14481</v>
      </c>
      <c r="T9" s="164">
        <f>+S9/Q9</f>
        <v>-0.89080954724409445</v>
      </c>
      <c r="U9" s="176" t="s">
        <v>6</v>
      </c>
    </row>
    <row r="10" spans="2:21" ht="38.25" customHeight="1" x14ac:dyDescent="0.25">
      <c r="B10" s="175">
        <v>2</v>
      </c>
      <c r="C10" s="27" t="s">
        <v>149</v>
      </c>
      <c r="D10" s="68" t="s">
        <v>49</v>
      </c>
      <c r="E10" s="160">
        <v>3998</v>
      </c>
      <c r="F10" s="160">
        <v>3200</v>
      </c>
      <c r="G10" s="29">
        <v>3199</v>
      </c>
      <c r="H10" s="29">
        <v>3199</v>
      </c>
      <c r="I10" s="29">
        <f t="shared" si="0"/>
        <v>0</v>
      </c>
      <c r="J10" s="146">
        <f t="shared" ref="J10:J19" si="2">(H10/G10)-1</f>
        <v>0</v>
      </c>
      <c r="K10" s="84">
        <v>2103726.5</v>
      </c>
      <c r="L10" s="84">
        <v>0</v>
      </c>
      <c r="M10" s="84">
        <v>0</v>
      </c>
      <c r="N10" s="84">
        <v>113716</v>
      </c>
      <c r="O10" s="84">
        <v>0</v>
      </c>
      <c r="P10" s="88">
        <f t="shared" ref="P10:P20" si="3">K10+L10+N10-M10-O10</f>
        <v>2217442.5</v>
      </c>
      <c r="Q10" s="84">
        <v>1319423</v>
      </c>
      <c r="R10" s="84">
        <v>818724.41999999993</v>
      </c>
      <c r="S10" s="122">
        <f t="shared" si="1"/>
        <v>500698.58000000007</v>
      </c>
      <c r="T10" s="164">
        <f t="shared" ref="T10:T19" si="4">+S10/Q10</f>
        <v>0.3794829861234798</v>
      </c>
      <c r="U10" s="176" t="s">
        <v>8</v>
      </c>
    </row>
    <row r="11" spans="2:21" s="67" customFormat="1" ht="38.25" customHeight="1" x14ac:dyDescent="0.25">
      <c r="B11" s="175">
        <f>1+B10</f>
        <v>3</v>
      </c>
      <c r="C11" s="27" t="s">
        <v>74</v>
      </c>
      <c r="D11" s="65" t="s">
        <v>155</v>
      </c>
      <c r="E11" s="160">
        <v>3998</v>
      </c>
      <c r="F11" s="160">
        <v>3200</v>
      </c>
      <c r="G11" s="29">
        <v>3199</v>
      </c>
      <c r="H11" s="29">
        <v>3199</v>
      </c>
      <c r="I11" s="29">
        <f t="shared" si="0"/>
        <v>0</v>
      </c>
      <c r="J11" s="146">
        <f t="shared" si="2"/>
        <v>0</v>
      </c>
      <c r="K11" s="84">
        <v>375000</v>
      </c>
      <c r="L11" s="84">
        <v>0</v>
      </c>
      <c r="M11" s="84">
        <v>0</v>
      </c>
      <c r="N11" s="84">
        <v>0</v>
      </c>
      <c r="O11" s="84">
        <v>0</v>
      </c>
      <c r="P11" s="88">
        <f t="shared" si="3"/>
        <v>375000</v>
      </c>
      <c r="Q11" s="84">
        <v>0</v>
      </c>
      <c r="R11" s="84">
        <v>0</v>
      </c>
      <c r="S11" s="122">
        <f t="shared" si="1"/>
        <v>0</v>
      </c>
      <c r="T11" s="164">
        <v>0</v>
      </c>
      <c r="U11" s="176" t="s">
        <v>9</v>
      </c>
    </row>
    <row r="12" spans="2:21" s="67" customFormat="1" ht="38.25" customHeight="1" x14ac:dyDescent="0.25">
      <c r="B12" s="175">
        <f t="shared" ref="B12:B20" si="5">1+B11</f>
        <v>4</v>
      </c>
      <c r="C12" s="27" t="s">
        <v>154</v>
      </c>
      <c r="D12" s="65" t="s">
        <v>57</v>
      </c>
      <c r="E12" s="65">
        <v>0</v>
      </c>
      <c r="F12" s="29">
        <v>2</v>
      </c>
      <c r="G12" s="29">
        <v>0</v>
      </c>
      <c r="H12" s="29">
        <v>0</v>
      </c>
      <c r="I12" s="29">
        <f t="shared" si="0"/>
        <v>0</v>
      </c>
      <c r="J12" s="146">
        <v>0</v>
      </c>
      <c r="K12" s="84">
        <v>91200</v>
      </c>
      <c r="L12" s="84">
        <v>0</v>
      </c>
      <c r="M12" s="84">
        <v>0</v>
      </c>
      <c r="N12" s="84">
        <v>0</v>
      </c>
      <c r="O12" s="84">
        <v>0</v>
      </c>
      <c r="P12" s="88">
        <f t="shared" si="3"/>
        <v>91200</v>
      </c>
      <c r="Q12" s="84">
        <v>91200</v>
      </c>
      <c r="R12" s="84">
        <v>0</v>
      </c>
      <c r="S12" s="122">
        <f t="shared" si="1"/>
        <v>91200</v>
      </c>
      <c r="T12" s="164">
        <f t="shared" si="4"/>
        <v>1</v>
      </c>
      <c r="U12" s="176" t="s">
        <v>12</v>
      </c>
    </row>
    <row r="13" spans="2:21" s="67" customFormat="1" ht="38.25" customHeight="1" x14ac:dyDescent="0.25">
      <c r="B13" s="175">
        <f t="shared" si="5"/>
        <v>5</v>
      </c>
      <c r="C13" s="27" t="s">
        <v>55</v>
      </c>
      <c r="D13" s="68" t="s">
        <v>101</v>
      </c>
      <c r="E13" s="68">
        <v>45</v>
      </c>
      <c r="F13" s="29">
        <v>40</v>
      </c>
      <c r="G13" s="29">
        <v>12</v>
      </c>
      <c r="H13" s="29">
        <v>12</v>
      </c>
      <c r="I13" s="29">
        <f t="shared" si="0"/>
        <v>0</v>
      </c>
      <c r="J13" s="146">
        <f t="shared" si="2"/>
        <v>0</v>
      </c>
      <c r="K13" s="84">
        <v>381880</v>
      </c>
      <c r="L13" s="84">
        <v>0</v>
      </c>
      <c r="M13" s="84">
        <v>0</v>
      </c>
      <c r="N13" s="84">
        <v>0</v>
      </c>
      <c r="O13" s="84">
        <v>0</v>
      </c>
      <c r="P13" s="88">
        <f t="shared" si="3"/>
        <v>381880</v>
      </c>
      <c r="Q13" s="84">
        <v>234345</v>
      </c>
      <c r="R13" s="84">
        <v>93145.15</v>
      </c>
      <c r="S13" s="122">
        <f t="shared" si="1"/>
        <v>141199.85</v>
      </c>
      <c r="T13" s="164">
        <f t="shared" si="4"/>
        <v>0.60252981714992859</v>
      </c>
      <c r="U13" s="176" t="s">
        <v>13</v>
      </c>
    </row>
    <row r="14" spans="2:21" ht="38.25" customHeight="1" x14ac:dyDescent="0.25">
      <c r="B14" s="175">
        <f t="shared" si="5"/>
        <v>6</v>
      </c>
      <c r="C14" s="27" t="s">
        <v>77</v>
      </c>
      <c r="D14" s="68" t="s">
        <v>100</v>
      </c>
      <c r="E14" s="68">
        <v>81</v>
      </c>
      <c r="F14" s="29">
        <v>79</v>
      </c>
      <c r="G14" s="29">
        <v>13</v>
      </c>
      <c r="H14" s="29">
        <v>13</v>
      </c>
      <c r="I14" s="29">
        <f t="shared" si="0"/>
        <v>0</v>
      </c>
      <c r="J14" s="146">
        <f t="shared" si="2"/>
        <v>0</v>
      </c>
      <c r="K14" s="84">
        <v>1516021</v>
      </c>
      <c r="L14" s="84">
        <v>0</v>
      </c>
      <c r="M14" s="84">
        <v>0</v>
      </c>
      <c r="N14" s="84">
        <v>0</v>
      </c>
      <c r="O14" s="84">
        <v>0</v>
      </c>
      <c r="P14" s="88">
        <f t="shared" si="3"/>
        <v>1516021</v>
      </c>
      <c r="Q14" s="84">
        <v>730607</v>
      </c>
      <c r="R14" s="84">
        <v>388154</v>
      </c>
      <c r="S14" s="122">
        <f t="shared" si="1"/>
        <v>342453</v>
      </c>
      <c r="T14" s="164">
        <f t="shared" si="4"/>
        <v>0.46872395145406492</v>
      </c>
      <c r="U14" s="176" t="s">
        <v>16</v>
      </c>
    </row>
    <row r="15" spans="2:21" s="67" customFormat="1" ht="38.25" customHeight="1" x14ac:dyDescent="0.25">
      <c r="B15" s="175">
        <f t="shared" si="5"/>
        <v>7</v>
      </c>
      <c r="C15" s="36" t="s">
        <v>61</v>
      </c>
      <c r="D15" s="68" t="s">
        <v>62</v>
      </c>
      <c r="E15" s="68">
        <v>0</v>
      </c>
      <c r="F15" s="29"/>
      <c r="G15" s="29">
        <v>0</v>
      </c>
      <c r="H15" s="29">
        <v>0</v>
      </c>
      <c r="I15" s="29">
        <f>H15-G15</f>
        <v>0</v>
      </c>
      <c r="J15" s="146" t="e">
        <f t="shared" si="2"/>
        <v>#DIV/0!</v>
      </c>
      <c r="K15" s="84">
        <v>176007</v>
      </c>
      <c r="L15" s="84">
        <v>0</v>
      </c>
      <c r="M15" s="84">
        <v>0</v>
      </c>
      <c r="N15" s="84">
        <v>0</v>
      </c>
      <c r="O15" s="84">
        <v>0</v>
      </c>
      <c r="P15" s="88">
        <f t="shared" si="3"/>
        <v>176007</v>
      </c>
      <c r="Q15" s="84">
        <v>129513</v>
      </c>
      <c r="R15" s="84">
        <v>39688</v>
      </c>
      <c r="S15" s="122">
        <f t="shared" si="1"/>
        <v>89825</v>
      </c>
      <c r="T15" s="164">
        <f t="shared" si="4"/>
        <v>0.69355971987368059</v>
      </c>
      <c r="U15" s="176" t="s">
        <v>17</v>
      </c>
    </row>
    <row r="16" spans="2:21" s="67" customFormat="1" ht="38.25" customHeight="1" x14ac:dyDescent="0.25">
      <c r="B16" s="175">
        <f t="shared" si="5"/>
        <v>8</v>
      </c>
      <c r="C16" s="36" t="s">
        <v>85</v>
      </c>
      <c r="D16" s="29" t="s">
        <v>130</v>
      </c>
      <c r="E16" s="68">
        <v>6</v>
      </c>
      <c r="F16" s="29"/>
      <c r="G16" s="29">
        <v>0</v>
      </c>
      <c r="H16" s="29">
        <v>0</v>
      </c>
      <c r="I16" s="29">
        <f t="shared" ref="I16" si="6">H16-G16</f>
        <v>0</v>
      </c>
      <c r="J16" s="146" t="e">
        <f t="shared" si="2"/>
        <v>#DIV/0!</v>
      </c>
      <c r="K16" s="84">
        <v>215138.75</v>
      </c>
      <c r="L16" s="84">
        <v>0</v>
      </c>
      <c r="M16" s="84">
        <v>0</v>
      </c>
      <c r="N16" s="84">
        <v>0</v>
      </c>
      <c r="O16" s="84">
        <v>0</v>
      </c>
      <c r="P16" s="88">
        <f t="shared" si="3"/>
        <v>215138.75</v>
      </c>
      <c r="Q16" s="84">
        <v>177439</v>
      </c>
      <c r="R16" s="84">
        <v>75159</v>
      </c>
      <c r="S16" s="122">
        <f t="shared" si="1"/>
        <v>102280</v>
      </c>
      <c r="T16" s="164">
        <f t="shared" si="4"/>
        <v>0.57642344693105796</v>
      </c>
      <c r="U16" s="176" t="s">
        <v>20</v>
      </c>
    </row>
    <row r="17" spans="2:22" s="67" customFormat="1" ht="45.75" customHeight="1" x14ac:dyDescent="0.25">
      <c r="B17" s="175">
        <f t="shared" si="5"/>
        <v>9</v>
      </c>
      <c r="C17" s="27" t="s">
        <v>63</v>
      </c>
      <c r="D17" s="68" t="s">
        <v>93</v>
      </c>
      <c r="E17" s="68">
        <f>71-57</f>
        <v>14</v>
      </c>
      <c r="F17" s="29"/>
      <c r="G17" s="29">
        <v>3</v>
      </c>
      <c r="H17" s="29">
        <v>3</v>
      </c>
      <c r="I17" s="29">
        <f t="shared" si="0"/>
        <v>0</v>
      </c>
      <c r="J17" s="146">
        <f t="shared" si="2"/>
        <v>0</v>
      </c>
      <c r="K17" s="84">
        <v>2836327.8</v>
      </c>
      <c r="L17" s="84">
        <v>0</v>
      </c>
      <c r="M17" s="84">
        <v>0</v>
      </c>
      <c r="N17" s="84">
        <v>0</v>
      </c>
      <c r="O17" s="84">
        <v>0</v>
      </c>
      <c r="P17" s="88">
        <f t="shared" si="3"/>
        <v>2836327.8</v>
      </c>
      <c r="Q17" s="84">
        <v>922575</v>
      </c>
      <c r="R17" s="84">
        <v>803103</v>
      </c>
      <c r="S17" s="122">
        <f t="shared" si="1"/>
        <v>119472</v>
      </c>
      <c r="T17" s="164">
        <f t="shared" si="4"/>
        <v>0.1294984147630274</v>
      </c>
      <c r="U17" s="176" t="s">
        <v>21</v>
      </c>
    </row>
    <row r="18" spans="2:22" s="67" customFormat="1" ht="38.25" customHeight="1" x14ac:dyDescent="0.25">
      <c r="B18" s="175">
        <f t="shared" si="5"/>
        <v>10</v>
      </c>
      <c r="C18" s="36" t="s">
        <v>65</v>
      </c>
      <c r="D18" s="29" t="s">
        <v>66</v>
      </c>
      <c r="E18" s="29">
        <v>1</v>
      </c>
      <c r="F18" s="29"/>
      <c r="G18" s="29">
        <v>0.25</v>
      </c>
      <c r="H18" s="29">
        <v>0.25</v>
      </c>
      <c r="I18" s="29">
        <f t="shared" si="0"/>
        <v>0</v>
      </c>
      <c r="J18" s="146">
        <f t="shared" si="2"/>
        <v>0</v>
      </c>
      <c r="K18" s="84">
        <v>4986764</v>
      </c>
      <c r="L18" s="84">
        <v>0</v>
      </c>
      <c r="M18" s="84">
        <v>0</v>
      </c>
      <c r="N18" s="84">
        <v>0</v>
      </c>
      <c r="O18" s="84">
        <v>113716</v>
      </c>
      <c r="P18" s="88">
        <f t="shared" si="3"/>
        <v>4873048</v>
      </c>
      <c r="Q18" s="84">
        <v>2384391</v>
      </c>
      <c r="R18" s="84">
        <v>2036572</v>
      </c>
      <c r="S18" s="122">
        <f t="shared" si="1"/>
        <v>347819</v>
      </c>
      <c r="T18" s="164">
        <f t="shared" si="4"/>
        <v>0.14587330685277708</v>
      </c>
      <c r="U18" s="180" t="s">
        <v>135</v>
      </c>
    </row>
    <row r="19" spans="2:22" s="67" customFormat="1" ht="38.25" customHeight="1" x14ac:dyDescent="0.25">
      <c r="B19" s="175">
        <f>1+B18</f>
        <v>11</v>
      </c>
      <c r="C19" s="36" t="s">
        <v>59</v>
      </c>
      <c r="D19" s="29" t="s">
        <v>102</v>
      </c>
      <c r="E19" s="29">
        <v>0</v>
      </c>
      <c r="F19" s="29"/>
      <c r="G19" s="29">
        <v>0</v>
      </c>
      <c r="H19" s="29">
        <v>0</v>
      </c>
      <c r="I19" s="29">
        <f t="shared" si="0"/>
        <v>0</v>
      </c>
      <c r="J19" s="146" t="e">
        <f t="shared" si="2"/>
        <v>#DIV/0!</v>
      </c>
      <c r="K19" s="84">
        <v>792036.02</v>
      </c>
      <c r="L19" s="84">
        <v>0</v>
      </c>
      <c r="M19" s="84">
        <v>0</v>
      </c>
      <c r="N19" s="84">
        <v>0</v>
      </c>
      <c r="O19" s="84">
        <v>0</v>
      </c>
      <c r="P19" s="88">
        <f t="shared" si="3"/>
        <v>792036.02</v>
      </c>
      <c r="Q19" s="84">
        <v>92864</v>
      </c>
      <c r="R19" s="131">
        <v>57386</v>
      </c>
      <c r="S19" s="122">
        <f t="shared" si="1"/>
        <v>35478</v>
      </c>
      <c r="T19" s="164">
        <f t="shared" si="4"/>
        <v>0.38204255685733979</v>
      </c>
      <c r="U19" s="176" t="s">
        <v>146</v>
      </c>
    </row>
    <row r="20" spans="2:22" s="67" customFormat="1" ht="38.25" customHeight="1" x14ac:dyDescent="0.25">
      <c r="B20" s="175">
        <f t="shared" si="5"/>
        <v>12</v>
      </c>
      <c r="C20" s="36" t="s">
        <v>64</v>
      </c>
      <c r="D20" s="29" t="s">
        <v>103</v>
      </c>
      <c r="E20" s="29">
        <v>0</v>
      </c>
      <c r="F20" s="29"/>
      <c r="G20" s="29">
        <v>0</v>
      </c>
      <c r="H20" s="29">
        <v>0</v>
      </c>
      <c r="I20" s="29">
        <f t="shared" si="0"/>
        <v>0</v>
      </c>
      <c r="J20" s="146">
        <v>0</v>
      </c>
      <c r="K20" s="84">
        <v>134000</v>
      </c>
      <c r="L20" s="84">
        <v>0</v>
      </c>
      <c r="M20" s="84">
        <v>0</v>
      </c>
      <c r="N20" s="84">
        <v>0</v>
      </c>
      <c r="O20" s="84">
        <v>0</v>
      </c>
      <c r="P20" s="88">
        <f t="shared" si="3"/>
        <v>134000</v>
      </c>
      <c r="Q20" s="84">
        <v>0</v>
      </c>
      <c r="R20" s="131">
        <v>0</v>
      </c>
      <c r="S20" s="122">
        <f t="shared" si="1"/>
        <v>0</v>
      </c>
      <c r="T20" s="164">
        <v>0</v>
      </c>
      <c r="U20" s="176" t="s">
        <v>147</v>
      </c>
    </row>
    <row r="21" spans="2:22" s="63" customFormat="1" ht="26.25" customHeight="1" x14ac:dyDescent="0.25">
      <c r="B21" s="220" t="s">
        <v>1</v>
      </c>
      <c r="C21" s="221"/>
      <c r="D21" s="222"/>
      <c r="E21" s="169">
        <f>SUM(E9:E20)</f>
        <v>8206</v>
      </c>
      <c r="F21" s="169">
        <f>SUM(F9:F20)</f>
        <v>6584</v>
      </c>
      <c r="G21" s="100">
        <f>SUM(G9:G20)</f>
        <v>6426.25</v>
      </c>
      <c r="H21" s="100">
        <f>SUM(H9:H20)</f>
        <v>6426.25</v>
      </c>
      <c r="I21" s="99">
        <f>SUM(I9:I20)</f>
        <v>0</v>
      </c>
      <c r="J21" s="170">
        <f t="shared" ref="J21" si="7">(H21/G21)-1</f>
        <v>0</v>
      </c>
      <c r="K21" s="101">
        <f>SUM(K9:K20)</f>
        <v>13892285.199999999</v>
      </c>
      <c r="L21" s="101">
        <f t="shared" ref="L21:M21" si="8">SUM(L9:L20)</f>
        <v>0</v>
      </c>
      <c r="M21" s="101">
        <f t="shared" si="8"/>
        <v>0</v>
      </c>
      <c r="N21" s="105">
        <f t="shared" ref="N21:S21" si="9">SUM(N9:N20)</f>
        <v>113716</v>
      </c>
      <c r="O21" s="105">
        <f t="shared" si="9"/>
        <v>113716</v>
      </c>
      <c r="P21" s="105">
        <f t="shared" si="9"/>
        <v>13892285.199999999</v>
      </c>
      <c r="Q21" s="105">
        <f t="shared" si="9"/>
        <v>6098613</v>
      </c>
      <c r="R21" s="105">
        <f t="shared" si="9"/>
        <v>4342668.57</v>
      </c>
      <c r="S21" s="105">
        <f t="shared" si="9"/>
        <v>1755944.4300000002</v>
      </c>
      <c r="T21" s="165">
        <f>+S21/Q21</f>
        <v>0.28792521020763251</v>
      </c>
      <c r="U21" s="44"/>
    </row>
    <row r="22" spans="2:22" ht="9.75" customHeight="1" x14ac:dyDescent="0.25"/>
    <row r="23" spans="2:22" x14ac:dyDescent="0.25">
      <c r="B23" s="70" t="s">
        <v>156</v>
      </c>
    </row>
    <row r="24" spans="2:22" x14ac:dyDescent="0.25">
      <c r="E24" s="184"/>
      <c r="F24" s="184"/>
      <c r="G24" s="184"/>
      <c r="H24" s="184"/>
      <c r="I24" s="184"/>
      <c r="J24" s="184"/>
      <c r="K24" s="184"/>
      <c r="L24" s="184"/>
      <c r="M24" s="184"/>
    </row>
    <row r="25" spans="2:22" ht="15" x14ac:dyDescent="0.25">
      <c r="N25" s="107"/>
      <c r="O25" s="107"/>
      <c r="U25" s="70"/>
      <c r="V25" s="70"/>
    </row>
    <row r="26" spans="2:22" s="107" customFormat="1" ht="15" x14ac:dyDescent="0.25"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182"/>
      <c r="R26" s="182"/>
      <c r="S26" s="70"/>
      <c r="T26" s="70"/>
      <c r="U26" s="71"/>
    </row>
    <row r="27" spans="2:22" s="107" customFormat="1" ht="15" x14ac:dyDescent="0.25">
      <c r="Q27" s="183"/>
      <c r="R27" s="183"/>
    </row>
    <row r="28" spans="2:22" s="107" customFormat="1" ht="15" x14ac:dyDescent="0.25">
      <c r="Q28" s="183"/>
      <c r="R28" s="183"/>
    </row>
    <row r="29" spans="2:22" s="107" customFormat="1" ht="15" x14ac:dyDescent="0.25">
      <c r="Q29" s="183"/>
      <c r="R29" s="183"/>
    </row>
    <row r="30" spans="2:22" s="107" customFormat="1" ht="15" x14ac:dyDescent="0.25">
      <c r="Q30" s="183"/>
      <c r="R30" s="183"/>
    </row>
    <row r="31" spans="2:22" s="107" customFormat="1" ht="15" x14ac:dyDescent="0.25">
      <c r="Q31" s="183"/>
      <c r="R31" s="183"/>
    </row>
    <row r="32" spans="2:22" s="107" customFormat="1" ht="15" x14ac:dyDescent="0.25">
      <c r="Q32" s="183"/>
      <c r="R32" s="183"/>
    </row>
    <row r="33" spans="2:21" s="107" customFormat="1" ht="15" x14ac:dyDescent="0.25">
      <c r="Q33" s="183"/>
      <c r="R33" s="183"/>
    </row>
    <row r="34" spans="2:21" s="107" customFormat="1" ht="15" x14ac:dyDescent="0.25">
      <c r="N34" s="174"/>
      <c r="Q34" s="183"/>
      <c r="R34" s="183"/>
    </row>
    <row r="35" spans="2:21" ht="15" x14ac:dyDescent="0.25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83"/>
      <c r="R35" s="183"/>
      <c r="S35" s="107"/>
      <c r="T35" s="107"/>
      <c r="U35" s="159">
        <v>3</v>
      </c>
    </row>
  </sheetData>
  <mergeCells count="24">
    <mergeCell ref="O7:O8"/>
    <mergeCell ref="L6:L8"/>
    <mergeCell ref="M6:M8"/>
    <mergeCell ref="E7:F7"/>
    <mergeCell ref="G7:G8"/>
    <mergeCell ref="H7:H8"/>
    <mergeCell ref="I7:J7"/>
    <mergeCell ref="N7:N8"/>
    <mergeCell ref="B21:D21"/>
    <mergeCell ref="B1:T1"/>
    <mergeCell ref="B2:T2"/>
    <mergeCell ref="B3:T3"/>
    <mergeCell ref="B5:B8"/>
    <mergeCell ref="C5:C8"/>
    <mergeCell ref="D5:D8"/>
    <mergeCell ref="P6:P8"/>
    <mergeCell ref="Q6:Q8"/>
    <mergeCell ref="R6:R8"/>
    <mergeCell ref="S6:T7"/>
    <mergeCell ref="E5:J6"/>
    <mergeCell ref="K5:U5"/>
    <mergeCell ref="K6:K8"/>
    <mergeCell ref="N6:O6"/>
    <mergeCell ref="U6:U8"/>
  </mergeCells>
  <printOptions horizontalCentered="1"/>
  <pageMargins left="0" right="0" top="0.74803149606299213" bottom="0.35433070866141736" header="0.31496062992125984" footer="0.31496062992125984"/>
  <pageSetup scale="7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3"/>
  <sheetViews>
    <sheetView topLeftCell="B28" zoomScale="90" zoomScaleNormal="90" workbookViewId="0">
      <selection activeCell="R43" sqref="R43"/>
    </sheetView>
  </sheetViews>
  <sheetFormatPr baseColWidth="10" defaultRowHeight="11.25" x14ac:dyDescent="0.2"/>
  <cols>
    <col min="1" max="1" width="5.85546875" style="4" customWidth="1"/>
    <col min="2" max="2" width="33.85546875" style="21" customWidth="1"/>
    <col min="3" max="3" width="18.7109375" style="3" customWidth="1"/>
    <col min="4" max="4" width="9.140625" style="3" customWidth="1"/>
    <col min="5" max="5" width="11.85546875" style="3" bestFit="1" customWidth="1"/>
    <col min="6" max="6" width="9.28515625" style="3" bestFit="1" customWidth="1"/>
    <col min="7" max="7" width="12.42578125" style="3" bestFit="1" customWidth="1"/>
    <col min="8" max="8" width="10.5703125" style="3" bestFit="1" customWidth="1"/>
    <col min="9" max="9" width="7.5703125" style="3" bestFit="1" customWidth="1"/>
    <col min="10" max="10" width="10.5703125" style="3" customWidth="1"/>
    <col min="11" max="11" width="12.5703125" style="3" bestFit="1" customWidth="1"/>
    <col min="12" max="12" width="11.7109375" style="3" bestFit="1" customWidth="1"/>
    <col min="13" max="13" width="12.7109375" style="3" bestFit="1" customWidth="1"/>
    <col min="14" max="14" width="12.28515625" style="3" customWidth="1"/>
    <col min="15" max="15" width="10.7109375" style="3" customWidth="1"/>
    <col min="16" max="16" width="8.85546875" style="3" bestFit="1" customWidth="1"/>
    <col min="17" max="17" width="6.7109375" style="93" bestFit="1" customWidth="1"/>
    <col min="18" max="18" width="10.28515625" style="3" bestFit="1" customWidth="1"/>
    <col min="19" max="16384" width="11.42578125" style="3"/>
  </cols>
  <sheetData>
    <row r="2" spans="1:18" ht="24.75" customHeight="1" x14ac:dyDescent="0.25">
      <c r="A2" s="209" t="s">
        <v>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</row>
    <row r="3" spans="1:18" ht="24.75" customHeight="1" x14ac:dyDescent="0.25">
      <c r="A3" s="210" t="s">
        <v>114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</row>
    <row r="4" spans="1:18" ht="15.75" x14ac:dyDescent="0.25">
      <c r="A4" s="211" t="s">
        <v>129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</row>
    <row r="5" spans="1:18" ht="11.25" customHeight="1" x14ac:dyDescent="0.2">
      <c r="B5" s="5"/>
      <c r="I5" s="6"/>
      <c r="J5" s="6"/>
      <c r="K5" s="6"/>
      <c r="L5" s="6"/>
      <c r="M5" s="6"/>
      <c r="N5" s="6"/>
      <c r="O5" s="6"/>
    </row>
    <row r="6" spans="1:18" s="85" customFormat="1" ht="26.25" customHeight="1" x14ac:dyDescent="0.2">
      <c r="A6" s="213" t="s">
        <v>23</v>
      </c>
      <c r="B6" s="219" t="s">
        <v>105</v>
      </c>
      <c r="C6" s="212" t="s">
        <v>106</v>
      </c>
      <c r="D6" s="280" t="s">
        <v>26</v>
      </c>
      <c r="E6" s="282"/>
      <c r="F6" s="282"/>
      <c r="G6" s="282"/>
      <c r="H6" s="282"/>
      <c r="I6" s="281"/>
      <c r="J6" s="212" t="s">
        <v>107</v>
      </c>
      <c r="K6" s="212"/>
      <c r="L6" s="212"/>
      <c r="M6" s="212"/>
      <c r="N6" s="212"/>
      <c r="O6" s="212"/>
      <c r="P6" s="212"/>
      <c r="Q6" s="212"/>
      <c r="R6" s="212" t="s">
        <v>109</v>
      </c>
    </row>
    <row r="7" spans="1:18" s="85" customFormat="1" ht="25.5" customHeight="1" x14ac:dyDescent="0.2">
      <c r="A7" s="213"/>
      <c r="B7" s="219"/>
      <c r="C7" s="212"/>
      <c r="D7" s="280" t="s">
        <v>71</v>
      </c>
      <c r="E7" s="281"/>
      <c r="F7" s="212" t="s">
        <v>108</v>
      </c>
      <c r="G7" s="212" t="s">
        <v>29</v>
      </c>
      <c r="H7" s="212" t="s">
        <v>30</v>
      </c>
      <c r="I7" s="212"/>
      <c r="J7" s="274" t="s">
        <v>31</v>
      </c>
      <c r="K7" s="212" t="s">
        <v>131</v>
      </c>
      <c r="L7" s="212"/>
      <c r="M7" s="274" t="s">
        <v>34</v>
      </c>
      <c r="N7" s="276" t="s">
        <v>110</v>
      </c>
      <c r="O7" s="276" t="s">
        <v>111</v>
      </c>
      <c r="P7" s="278" t="s">
        <v>112</v>
      </c>
      <c r="Q7" s="279"/>
      <c r="R7" s="212"/>
    </row>
    <row r="8" spans="1:18" s="85" customFormat="1" ht="23.25" customHeight="1" x14ac:dyDescent="0.2">
      <c r="A8" s="213"/>
      <c r="B8" s="213"/>
      <c r="C8" s="212"/>
      <c r="D8" s="133" t="s">
        <v>31</v>
      </c>
      <c r="E8" s="133" t="s">
        <v>134</v>
      </c>
      <c r="F8" s="212"/>
      <c r="G8" s="212"/>
      <c r="H8" s="124" t="s">
        <v>40</v>
      </c>
      <c r="I8" s="124" t="s">
        <v>0</v>
      </c>
      <c r="J8" s="275"/>
      <c r="K8" s="123" t="s">
        <v>132</v>
      </c>
      <c r="L8" s="123" t="s">
        <v>133</v>
      </c>
      <c r="M8" s="275"/>
      <c r="N8" s="277"/>
      <c r="O8" s="277"/>
      <c r="P8" s="123" t="s">
        <v>41</v>
      </c>
      <c r="Q8" s="123" t="s">
        <v>0</v>
      </c>
      <c r="R8" s="212"/>
    </row>
    <row r="9" spans="1:18" s="13" customFormat="1" ht="27.75" customHeight="1" x14ac:dyDescent="0.25">
      <c r="A9" s="12">
        <v>1</v>
      </c>
      <c r="B9" s="2" t="s">
        <v>44</v>
      </c>
      <c r="C9" s="8" t="s">
        <v>86</v>
      </c>
      <c r="D9" s="134">
        <f>+'2 Subsidio Abr-Jun'!D8</f>
        <v>1031</v>
      </c>
      <c r="E9" s="134">
        <f>+'2 Subsidio Abr-Jun'!E8</f>
        <v>1031</v>
      </c>
      <c r="F9" s="1">
        <f>+'2 Subsidio Abr-Jun'!F8</f>
        <v>638</v>
      </c>
      <c r="G9" s="1">
        <f>+'2 Subsidio Abr-Jun'!G8</f>
        <v>642</v>
      </c>
      <c r="H9" s="149">
        <f>G9-F9</f>
        <v>4</v>
      </c>
      <c r="I9" s="151">
        <f>(G9/F9)-1</f>
        <v>6.2695924764890609E-3</v>
      </c>
      <c r="J9" s="9">
        <f>+'2 Subsidio Abr-Jun'!J8</f>
        <v>63064</v>
      </c>
      <c r="K9" s="9">
        <f>+'2 Subsidio Abr-Jun'!K8</f>
        <v>0</v>
      </c>
      <c r="L9" s="9">
        <f>+'2 Subsidio Abr-Jun'!L8</f>
        <v>0</v>
      </c>
      <c r="M9" s="9">
        <f>+'2 Subsidio Abr-Jun'!M8</f>
        <v>63064</v>
      </c>
      <c r="N9" s="9">
        <f>'2 Subsidio Abr-Jun'!N8</f>
        <v>21427.62</v>
      </c>
      <c r="O9" s="9">
        <f>'2 Subsidio Abr-Jun'!O8</f>
        <v>5605</v>
      </c>
      <c r="P9" s="56">
        <f>N9-O9</f>
        <v>15822.619999999999</v>
      </c>
      <c r="Q9" s="152">
        <f>+P9/N9</f>
        <v>0.73842171925766831</v>
      </c>
      <c r="R9" s="15" t="s">
        <v>3</v>
      </c>
    </row>
    <row r="10" spans="1:18" s="13" customFormat="1" ht="27.75" customHeight="1" x14ac:dyDescent="0.25">
      <c r="A10" s="12">
        <f>+A9+1</f>
        <v>2</v>
      </c>
      <c r="B10" s="2" t="s">
        <v>45</v>
      </c>
      <c r="C10" s="8" t="s">
        <v>87</v>
      </c>
      <c r="D10" s="134">
        <f>+'2 Subsidio Abr-Jun'!D9</f>
        <v>8</v>
      </c>
      <c r="E10" s="134">
        <f>+'2 Subsidio Abr-Jun'!E9</f>
        <v>12</v>
      </c>
      <c r="F10" s="1">
        <f>+'2 Subsidio Abr-Jun'!F9</f>
        <v>0</v>
      </c>
      <c r="G10" s="1">
        <f>+'2 Subsidio Abr-Jun'!G9</f>
        <v>0</v>
      </c>
      <c r="H10" s="149">
        <f t="shared" ref="H10:H29" si="0">G10-F10</f>
        <v>0</v>
      </c>
      <c r="I10" s="151">
        <v>0</v>
      </c>
      <c r="J10" s="9">
        <f>+'2 Subsidio Abr-Jun'!J9</f>
        <v>138393</v>
      </c>
      <c r="K10" s="9">
        <f>+'2 Subsidio Abr-Jun'!K9</f>
        <v>80800</v>
      </c>
      <c r="L10" s="9">
        <f>+'2 Subsidio Abr-Jun'!L9</f>
        <v>0</v>
      </c>
      <c r="M10" s="9">
        <f>+'2 Subsidio Abr-Jun'!M9</f>
        <v>219193</v>
      </c>
      <c r="N10" s="9">
        <f>'2 Subsidio Abr-Jun'!N9</f>
        <v>111698.92</v>
      </c>
      <c r="O10" s="9">
        <f>'2 Subsidio Abr-Jun'!O9</f>
        <v>56990</v>
      </c>
      <c r="P10" s="56">
        <f t="shared" ref="P10:P29" si="1">N10-O10</f>
        <v>54708.92</v>
      </c>
      <c r="Q10" s="152">
        <f t="shared" ref="Q10:Q29" si="2">+P10/N10</f>
        <v>0.48978915821209373</v>
      </c>
      <c r="R10" s="15" t="s">
        <v>4</v>
      </c>
    </row>
    <row r="11" spans="1:18" s="13" customFormat="1" ht="27.75" customHeight="1" x14ac:dyDescent="0.25">
      <c r="A11" s="12">
        <f t="shared" ref="A11:A28" si="3">+A10+1</f>
        <v>3</v>
      </c>
      <c r="B11" s="2" t="s">
        <v>46</v>
      </c>
      <c r="C11" s="8" t="s">
        <v>125</v>
      </c>
      <c r="D11" s="134">
        <f>'2 Propios Abr-Jun'!D8</f>
        <v>62</v>
      </c>
      <c r="E11" s="134">
        <f>'2 Propios Abr-Jun'!E8</f>
        <v>62</v>
      </c>
      <c r="F11" s="1">
        <f>+'2 Subsidio Abr-Jun'!F10+'2 Propios Abr-Jun'!F8</f>
        <v>0</v>
      </c>
      <c r="G11" s="1">
        <f>+'2 Subsidio Abr-Jun'!G10+'2 Propios Abr-Jun'!G8</f>
        <v>0</v>
      </c>
      <c r="H11" s="149">
        <f t="shared" si="0"/>
        <v>0</v>
      </c>
      <c r="I11" s="151">
        <v>0</v>
      </c>
      <c r="J11" s="9">
        <f>+'2 Subsidio Abr-Jun'!J10+'2 Propios Abr-Jun'!J8</f>
        <v>147448</v>
      </c>
      <c r="K11" s="9">
        <f>+'2 Subsidio Abr-Jun'!K10+'2 Propios Abr-Jun'!K8</f>
        <v>0</v>
      </c>
      <c r="L11" s="9">
        <f>+'2 Subsidio Abr-Jun'!L10+'2 Propios Abr-Jun'!L8</f>
        <v>0</v>
      </c>
      <c r="M11" s="9">
        <f>+'2 Subsidio Abr-Jun'!M10+'2 Propios Abr-Jun'!M8</f>
        <v>147448</v>
      </c>
      <c r="N11" s="9">
        <f>'2 Subsidio Abr-Jun'!N10+'2 Propios Abr-Jun'!N8</f>
        <v>81567.87</v>
      </c>
      <c r="O11" s="9">
        <f>'2 Subsidio Abr-Jun'!O10+'2 Propios Abr-Jun'!O8</f>
        <v>35083</v>
      </c>
      <c r="P11" s="56">
        <f t="shared" si="1"/>
        <v>46484.869999999995</v>
      </c>
      <c r="Q11" s="152">
        <f t="shared" si="2"/>
        <v>0.56989191945308859</v>
      </c>
      <c r="R11" s="15" t="s">
        <v>5</v>
      </c>
    </row>
    <row r="12" spans="1:18" s="13" customFormat="1" ht="27.75" customHeight="1" x14ac:dyDescent="0.25">
      <c r="A12" s="12">
        <f t="shared" si="3"/>
        <v>4</v>
      </c>
      <c r="B12" s="2" t="s">
        <v>47</v>
      </c>
      <c r="C12" s="8" t="s">
        <v>43</v>
      </c>
      <c r="D12" s="134">
        <f>+'2 Subsidio Abr-Jun'!D11</f>
        <v>4</v>
      </c>
      <c r="E12" s="134">
        <f>+'2 Subsidio Abr-Jun'!E11</f>
        <v>4</v>
      </c>
      <c r="F12" s="1">
        <f>+'2 Subsidio Abr-Jun'!F11</f>
        <v>2</v>
      </c>
      <c r="G12" s="1">
        <f>+'2 Subsidio Abr-Jun'!G11</f>
        <v>0</v>
      </c>
      <c r="H12" s="149">
        <f t="shared" si="0"/>
        <v>-2</v>
      </c>
      <c r="I12" s="151">
        <f t="shared" ref="I12:I29" si="4">(G12/F12)-1</f>
        <v>-1</v>
      </c>
      <c r="J12" s="9">
        <f>+'2 Subsidio Abr-Jun'!J11</f>
        <v>16940</v>
      </c>
      <c r="K12" s="9">
        <f>+'2 Subsidio Abr-Jun'!K11</f>
        <v>0</v>
      </c>
      <c r="L12" s="9">
        <f>+'2 Subsidio Abr-Jun'!L11</f>
        <v>0</v>
      </c>
      <c r="M12" s="9">
        <f>+'2 Subsidio Abr-Jun'!M11</f>
        <v>16940</v>
      </c>
      <c r="N12" s="9">
        <f>'2 Subsidio Abr-Jun'!N11</f>
        <v>3637.89</v>
      </c>
      <c r="O12" s="9">
        <f>'2 Subsidio Abr-Jun'!O11</f>
        <v>25194</v>
      </c>
      <c r="P12" s="56">
        <f t="shared" si="1"/>
        <v>-21556.11</v>
      </c>
      <c r="Q12" s="152">
        <f t="shared" si="2"/>
        <v>-5.9254430452817433</v>
      </c>
      <c r="R12" s="15" t="s">
        <v>6</v>
      </c>
    </row>
    <row r="13" spans="1:18" s="13" customFormat="1" ht="27.75" customHeight="1" x14ac:dyDescent="0.25">
      <c r="A13" s="12">
        <f t="shared" si="3"/>
        <v>5</v>
      </c>
      <c r="B13" s="2" t="s">
        <v>48</v>
      </c>
      <c r="C13" s="8" t="s">
        <v>49</v>
      </c>
      <c r="D13" s="134">
        <f>+'2 Subsidio Abr-Jun'!D12</f>
        <v>2800</v>
      </c>
      <c r="E13" s="134">
        <f>+'2 Subsidio Abr-Jun'!E12</f>
        <v>2800</v>
      </c>
      <c r="F13" s="1">
        <f>+'2 Subsidio Abr-Jun'!F12</f>
        <v>1909</v>
      </c>
      <c r="G13" s="1">
        <f>+'2 Subsidio Abr-Jun'!G12</f>
        <v>1912</v>
      </c>
      <c r="H13" s="149">
        <f t="shared" si="0"/>
        <v>3</v>
      </c>
      <c r="I13" s="151">
        <f t="shared" si="4"/>
        <v>1.5715034049239573E-3</v>
      </c>
      <c r="J13" s="9">
        <f>+'2 Subsidio Abr-Jun'!J12+'2 Propios Abr-Jun'!J9</f>
        <v>2468095</v>
      </c>
      <c r="K13" s="9">
        <f>+'2 Subsidio Abr-Jun'!K12+'2 Propios Abr-Jun'!K9</f>
        <v>23716</v>
      </c>
      <c r="L13" s="9">
        <f>+'2 Subsidio Abr-Jun'!L12+'2 Propios Abr-Jun'!L9</f>
        <v>0</v>
      </c>
      <c r="M13" s="9">
        <f>+'2 Subsidio Abr-Jun'!M12+'2 Propios Abr-Jun'!M9+1</f>
        <v>2491812</v>
      </c>
      <c r="N13" s="9">
        <f>+'2 Subsidio Abr-Jun'!N12+'2 Propios Abr-Jun'!N9</f>
        <v>964026.32</v>
      </c>
      <c r="O13" s="9">
        <f>+'2 Subsidio Abr-Jun'!O12+'2 Propios Abr-Jun'!O9</f>
        <v>895317.41999999993</v>
      </c>
      <c r="P13" s="56">
        <f t="shared" si="1"/>
        <v>68708.900000000023</v>
      </c>
      <c r="Q13" s="152">
        <f t="shared" si="2"/>
        <v>7.127284657539229E-2</v>
      </c>
      <c r="R13" s="15" t="s">
        <v>7</v>
      </c>
    </row>
    <row r="14" spans="1:18" s="13" customFormat="1" ht="27.75" customHeight="1" x14ac:dyDescent="0.25">
      <c r="A14" s="12">
        <f t="shared" si="3"/>
        <v>6</v>
      </c>
      <c r="B14" s="14" t="s">
        <v>50</v>
      </c>
      <c r="C14" s="8" t="s">
        <v>90</v>
      </c>
      <c r="D14" s="134">
        <f>+'2 Subsidio Abr-Jun'!D13</f>
        <v>1012</v>
      </c>
      <c r="E14" s="134">
        <f>+'2 Subsidio Abr-Jun'!E13</f>
        <v>1012</v>
      </c>
      <c r="F14" s="1">
        <f>+'2 Subsidio Abr-Jun'!F13</f>
        <v>250</v>
      </c>
      <c r="G14" s="1">
        <f>+'2 Subsidio Abr-Jun'!G13</f>
        <v>287</v>
      </c>
      <c r="H14" s="149">
        <f t="shared" si="0"/>
        <v>37</v>
      </c>
      <c r="I14" s="151">
        <f t="shared" si="4"/>
        <v>0.14799999999999991</v>
      </c>
      <c r="J14" s="9">
        <f>+'2 Subsidio Abr-Jun'!J13+'2 Propios Abr-Jun'!J10</f>
        <v>233292</v>
      </c>
      <c r="K14" s="9">
        <f>+'2 Subsidio Abr-Jun'!K13+'2 Propios Abr-Jun'!K10</f>
        <v>0</v>
      </c>
      <c r="L14" s="9">
        <f>+'2 Subsidio Abr-Jun'!L13+'2 Propios Abr-Jun'!L10</f>
        <v>0</v>
      </c>
      <c r="M14" s="9">
        <f>+'2 Subsidio Abr-Jun'!M13+'2 Propios Abr-Jun'!M10</f>
        <v>233292</v>
      </c>
      <c r="N14" s="9">
        <f>+'2 Subsidio Abr-Jun'!N13+'2 Propios Abr-Jun'!N10</f>
        <v>2953.7</v>
      </c>
      <c r="O14" s="9">
        <f>+'2 Subsidio Abr-Jun'!O13+'2 Propios Abr-Jun'!O10</f>
        <v>4500</v>
      </c>
      <c r="P14" s="56">
        <f t="shared" si="1"/>
        <v>-1546.3000000000002</v>
      </c>
      <c r="Q14" s="152">
        <f t="shared" si="2"/>
        <v>-0.52351288214781466</v>
      </c>
      <c r="R14" s="15" t="s">
        <v>8</v>
      </c>
    </row>
    <row r="15" spans="1:18" s="13" customFormat="1" ht="27.75" customHeight="1" x14ac:dyDescent="0.25">
      <c r="A15" s="12">
        <f t="shared" si="3"/>
        <v>7</v>
      </c>
      <c r="B15" s="2" t="s">
        <v>52</v>
      </c>
      <c r="C15" s="8" t="s">
        <v>117</v>
      </c>
      <c r="D15" s="134">
        <f>+'2 Subsidio Abr-Jun'!D14</f>
        <v>7629</v>
      </c>
      <c r="E15" s="134">
        <f>+'2 Subsidio Abr-Jun'!E14</f>
        <v>7629</v>
      </c>
      <c r="F15" s="1">
        <f>+'2 Subsidio Abr-Jun'!F14</f>
        <v>3100</v>
      </c>
      <c r="G15" s="1">
        <f>+'2 Subsidio Abr-Jun'!G14</f>
        <v>2576</v>
      </c>
      <c r="H15" s="149">
        <f t="shared" si="0"/>
        <v>-524</v>
      </c>
      <c r="I15" s="151">
        <f t="shared" si="4"/>
        <v>-0.16903225806451616</v>
      </c>
      <c r="J15" s="9">
        <f>+'2 Subsidio Abr-Jun'!J14</f>
        <v>117033</v>
      </c>
      <c r="K15" s="9">
        <f>+'2 Subsidio Abr-Jun'!K14</f>
        <v>0</v>
      </c>
      <c r="L15" s="9">
        <f>+'2 Subsidio Abr-Jun'!L14</f>
        <v>0</v>
      </c>
      <c r="M15" s="9">
        <f>+'2 Subsidio Abr-Jun'!M14</f>
        <v>117033</v>
      </c>
      <c r="N15" s="9">
        <f>+'2 Subsidio Abr-Jun'!N14</f>
        <v>27696.9</v>
      </c>
      <c r="O15" s="9">
        <f>+'2 Subsidio Abr-Jun'!O14</f>
        <v>490</v>
      </c>
      <c r="P15" s="56">
        <f t="shared" si="1"/>
        <v>27206.9</v>
      </c>
      <c r="Q15" s="152">
        <f t="shared" si="2"/>
        <v>0.98230848939773041</v>
      </c>
      <c r="R15" s="15" t="s">
        <v>9</v>
      </c>
    </row>
    <row r="16" spans="1:18" s="13" customFormat="1" ht="27.75" customHeight="1" x14ac:dyDescent="0.25">
      <c r="A16" s="12">
        <f t="shared" si="3"/>
        <v>8</v>
      </c>
      <c r="B16" s="14" t="s">
        <v>53</v>
      </c>
      <c r="C16" s="8" t="s">
        <v>54</v>
      </c>
      <c r="D16" s="134">
        <f>+'2 Subsidio Abr-Jun'!D15</f>
        <v>56</v>
      </c>
      <c r="E16" s="134">
        <f>+'2 Subsidio Abr-Jun'!E15</f>
        <v>56</v>
      </c>
      <c r="F16" s="1">
        <f>+'2 Subsidio Abr-Jun'!F15</f>
        <v>7</v>
      </c>
      <c r="G16" s="1">
        <f>+'2 Subsidio Abr-Jun'!G15</f>
        <v>18</v>
      </c>
      <c r="H16" s="149">
        <f t="shared" si="0"/>
        <v>11</v>
      </c>
      <c r="I16" s="151">
        <f t="shared" si="4"/>
        <v>1.5714285714285716</v>
      </c>
      <c r="J16" s="9">
        <f>+'2 Subsidio Abr-Jun'!J15</f>
        <v>129236</v>
      </c>
      <c r="K16" s="9">
        <f>+'2 Subsidio Abr-Jun'!K15</f>
        <v>0</v>
      </c>
      <c r="L16" s="9">
        <f>+'2 Subsidio Abr-Jun'!L15</f>
        <v>0</v>
      </c>
      <c r="M16" s="9">
        <f>+'2 Subsidio Abr-Jun'!M15</f>
        <v>129236</v>
      </c>
      <c r="N16" s="9">
        <f>+'2 Subsidio Abr-Jun'!N15</f>
        <v>73688.2</v>
      </c>
      <c r="O16" s="9">
        <f>+'2 Subsidio Abr-Jun'!O15</f>
        <v>96956</v>
      </c>
      <c r="P16" s="56">
        <f t="shared" si="1"/>
        <v>-23267.800000000003</v>
      </c>
      <c r="Q16" s="152">
        <f t="shared" si="2"/>
        <v>-0.31576018955545126</v>
      </c>
      <c r="R16" s="15" t="s">
        <v>10</v>
      </c>
    </row>
    <row r="17" spans="1:19" s="13" customFormat="1" ht="27.75" customHeight="1" x14ac:dyDescent="0.25">
      <c r="A17" s="12">
        <f t="shared" si="3"/>
        <v>9</v>
      </c>
      <c r="B17" s="14" t="s">
        <v>56</v>
      </c>
      <c r="C17" s="8" t="s">
        <v>57</v>
      </c>
      <c r="D17" s="134">
        <f>+'2 Subsidio Abr-Jun'!D16</f>
        <v>20</v>
      </c>
      <c r="E17" s="134">
        <f>+'2 Subsidio Abr-Jun'!E16</f>
        <v>20</v>
      </c>
      <c r="F17" s="1">
        <f>+'2 Subsidio Abr-Jun'!F16</f>
        <v>2</v>
      </c>
      <c r="G17" s="1">
        <f>+'2 Subsidio Abr-Jun'!G16</f>
        <v>0</v>
      </c>
      <c r="H17" s="149">
        <f t="shared" si="0"/>
        <v>-2</v>
      </c>
      <c r="I17" s="151">
        <f t="shared" si="4"/>
        <v>-1</v>
      </c>
      <c r="J17" s="9">
        <f>+'2 Subsidio Abr-Jun'!J16</f>
        <v>130252</v>
      </c>
      <c r="K17" s="9">
        <f>+'2 Subsidio Abr-Jun'!K16</f>
        <v>20000</v>
      </c>
      <c r="L17" s="9">
        <f>+'2 Subsidio Abr-Jun'!L16</f>
        <v>0</v>
      </c>
      <c r="M17" s="9">
        <f>+'2 Subsidio Abr-Jun'!M16</f>
        <v>150252</v>
      </c>
      <c r="N17" s="9">
        <f>+'2 Subsidio Abr-Jun'!N16</f>
        <v>39041.39</v>
      </c>
      <c r="O17" s="9">
        <f>+'2 Subsidio Abr-Jun'!O16</f>
        <v>27598</v>
      </c>
      <c r="P17" s="56">
        <f t="shared" si="1"/>
        <v>11443.39</v>
      </c>
      <c r="Q17" s="152">
        <f t="shared" si="2"/>
        <v>0.29310918489326326</v>
      </c>
      <c r="R17" s="15" t="s">
        <v>11</v>
      </c>
    </row>
    <row r="18" spans="1:19" s="13" customFormat="1" ht="27.75" customHeight="1" x14ac:dyDescent="0.25">
      <c r="A18" s="12">
        <f t="shared" si="3"/>
        <v>10</v>
      </c>
      <c r="B18" s="2" t="s">
        <v>55</v>
      </c>
      <c r="C18" s="8" t="s">
        <v>91</v>
      </c>
      <c r="D18" s="134">
        <f>+'2 Subsidio Abr-Jun'!D17</f>
        <v>1</v>
      </c>
      <c r="E18" s="134">
        <f>+'2 Subsidio Abr-Jun'!E17</f>
        <v>1</v>
      </c>
      <c r="F18" s="136">
        <f>+'2 Subsidio Abr-Jun'!F17</f>
        <v>0.5</v>
      </c>
      <c r="G18" s="136">
        <f>+'2 Subsidio Abr-Jun'!G17</f>
        <v>0.5</v>
      </c>
      <c r="H18" s="149">
        <f t="shared" si="0"/>
        <v>0</v>
      </c>
      <c r="I18" s="151">
        <f t="shared" si="4"/>
        <v>0</v>
      </c>
      <c r="J18" s="9">
        <f>+'2 Subsidio Abr-Jun'!J17+'2 Propios Abr-Jun'!J11</f>
        <v>345704</v>
      </c>
      <c r="K18" s="9">
        <f>+'2 Subsidio Abr-Jun'!K17+'2 Propios Abr-Jun'!K11</f>
        <v>0</v>
      </c>
      <c r="L18" s="9">
        <f>+'2 Subsidio Abr-Jun'!L17+'2 Propios Abr-Jun'!L11</f>
        <v>74800</v>
      </c>
      <c r="M18" s="9">
        <f>+'2 Subsidio Abr-Jun'!M17+'2 Propios Abr-Jun'!M11</f>
        <v>270904</v>
      </c>
      <c r="N18" s="9">
        <f>+'2 Subsidio Abr-Jun'!N17+'2 Propios Abr-Jun'!N11</f>
        <v>73288.39</v>
      </c>
      <c r="O18" s="9">
        <f>+'2 Subsidio Abr-Jun'!O17+'2 Propios Abr-Jun'!O11</f>
        <v>126374.15</v>
      </c>
      <c r="P18" s="56">
        <f t="shared" si="1"/>
        <v>-53085.759999999995</v>
      </c>
      <c r="Q18" s="152">
        <f t="shared" si="2"/>
        <v>-0.72434064931703368</v>
      </c>
      <c r="R18" s="15" t="s">
        <v>12</v>
      </c>
    </row>
    <row r="19" spans="1:19" ht="27.75" customHeight="1" x14ac:dyDescent="0.2">
      <c r="A19" s="12">
        <f t="shared" si="3"/>
        <v>11</v>
      </c>
      <c r="B19" s="7" t="s">
        <v>78</v>
      </c>
      <c r="C19" s="8" t="s">
        <v>119</v>
      </c>
      <c r="D19" s="10">
        <f>+'2 Propios Abr-Jun'!D12</f>
        <v>1</v>
      </c>
      <c r="E19" s="10">
        <f>+'2 Propios Abr-Jun'!E12</f>
        <v>1</v>
      </c>
      <c r="F19" s="87">
        <f>+'2 Propios Abr-Jun'!F12</f>
        <v>0.25</v>
      </c>
      <c r="G19" s="87">
        <f>+'2 Propios Abr-Jun'!G12</f>
        <v>0.25</v>
      </c>
      <c r="H19" s="149">
        <f t="shared" si="0"/>
        <v>0</v>
      </c>
      <c r="I19" s="151">
        <f t="shared" si="4"/>
        <v>0</v>
      </c>
      <c r="J19" s="9">
        <f>+'2 Propios Abr-Jun'!J12</f>
        <v>98862</v>
      </c>
      <c r="K19" s="9">
        <f>+'2 Propios Abr-Jun'!K12</f>
        <v>202148</v>
      </c>
      <c r="L19" s="9">
        <f>+'2 Propios Abr-Jun'!L12</f>
        <v>0</v>
      </c>
      <c r="M19" s="9">
        <f>+'2 Propios Abr-Jun'!M12</f>
        <v>301010</v>
      </c>
      <c r="N19" s="9">
        <f>+'2 Propios Abr-Jun'!N12</f>
        <v>24888.05</v>
      </c>
      <c r="O19" s="9" t="e">
        <f>+'2 Propios Abr-Jun'!O12</f>
        <v>#REF!</v>
      </c>
      <c r="P19" s="56" t="e">
        <f t="shared" si="1"/>
        <v>#REF!</v>
      </c>
      <c r="Q19" s="152" t="e">
        <f t="shared" si="2"/>
        <v>#REF!</v>
      </c>
      <c r="R19" s="15" t="s">
        <v>13</v>
      </c>
    </row>
    <row r="20" spans="1:19" s="13" customFormat="1" ht="27.75" customHeight="1" x14ac:dyDescent="0.25">
      <c r="A20" s="12">
        <f t="shared" si="3"/>
        <v>12</v>
      </c>
      <c r="B20" s="2" t="s">
        <v>42</v>
      </c>
      <c r="C20" s="74" t="s">
        <v>43</v>
      </c>
      <c r="D20" s="134">
        <f>+'2 Subsidio Abr-Jun'!D18</f>
        <v>4</v>
      </c>
      <c r="E20" s="134">
        <f>+'2 Subsidio Abr-Jun'!E18</f>
        <v>4</v>
      </c>
      <c r="F20" s="1">
        <f>+'2 Subsidio Abr-Jun'!F18</f>
        <v>0</v>
      </c>
      <c r="G20" s="1">
        <f>+'2 Subsidio Abr-Jun'!G18</f>
        <v>1</v>
      </c>
      <c r="H20" s="149">
        <f t="shared" si="0"/>
        <v>1</v>
      </c>
      <c r="I20" s="151">
        <v>0</v>
      </c>
      <c r="J20" s="9">
        <f>+'2 Subsidio Abr-Jun'!J18</f>
        <v>132395</v>
      </c>
      <c r="K20" s="9">
        <f>+'2 Subsidio Abr-Jun'!K18</f>
        <v>0</v>
      </c>
      <c r="L20" s="9">
        <f>+'2 Subsidio Abr-Jun'!L18</f>
        <v>0</v>
      </c>
      <c r="M20" s="9">
        <f>+'2 Subsidio Abr-Jun'!M18</f>
        <v>132395</v>
      </c>
      <c r="N20" s="9">
        <f>+'2 Subsidio Abr-Jun'!N18</f>
        <v>26107.83</v>
      </c>
      <c r="O20" s="9">
        <f>+'2 Subsidio Abr-Jun'!O18</f>
        <v>51152</v>
      </c>
      <c r="P20" s="56">
        <f t="shared" si="1"/>
        <v>-25044.17</v>
      </c>
      <c r="Q20" s="152">
        <f t="shared" si="2"/>
        <v>-0.95925896560533741</v>
      </c>
      <c r="R20" s="15" t="s">
        <v>14</v>
      </c>
    </row>
    <row r="21" spans="1:19" s="13" customFormat="1" ht="27.75" customHeight="1" x14ac:dyDescent="0.25">
      <c r="A21" s="12">
        <f t="shared" si="3"/>
        <v>13</v>
      </c>
      <c r="B21" s="14" t="s">
        <v>77</v>
      </c>
      <c r="C21" s="8" t="s">
        <v>104</v>
      </c>
      <c r="D21" s="134">
        <f>+'2 Propios Abr-Jun'!D13</f>
        <v>52</v>
      </c>
      <c r="E21" s="134">
        <f>+'2 Propios Abr-Jun'!E13</f>
        <v>52</v>
      </c>
      <c r="F21" s="1">
        <f>+'2 Propios Abr-Jun'!F13</f>
        <v>12</v>
      </c>
      <c r="G21" s="1">
        <f>+'2 Propios Abr-Jun'!G13</f>
        <v>13</v>
      </c>
      <c r="H21" s="149">
        <f t="shared" si="0"/>
        <v>1</v>
      </c>
      <c r="I21" s="151">
        <f t="shared" si="4"/>
        <v>8.3333333333333259E-2</v>
      </c>
      <c r="J21" s="9">
        <f>+'2 Propios Abr-Jun'!J13</f>
        <v>1627713</v>
      </c>
      <c r="K21" s="9">
        <f>+'2 Propios Abr-Jun'!K13</f>
        <v>0</v>
      </c>
      <c r="L21" s="9">
        <f>+'2 Propios Abr-Jun'!L13</f>
        <v>0</v>
      </c>
      <c r="M21" s="9">
        <f>+'2 Propios Abr-Jun'!M13</f>
        <v>1627713</v>
      </c>
      <c r="N21" s="9">
        <f>+'2 Propios Abr-Jun'!N13</f>
        <v>604777.42000000004</v>
      </c>
      <c r="O21" s="9">
        <f>+'2 Propios Abr-Jun'!O13</f>
        <v>168435</v>
      </c>
      <c r="P21" s="56">
        <f t="shared" si="1"/>
        <v>436342.42000000004</v>
      </c>
      <c r="Q21" s="152">
        <f t="shared" si="2"/>
        <v>0.72149257821166668</v>
      </c>
      <c r="R21" s="15" t="s">
        <v>15</v>
      </c>
      <c r="S21" s="95"/>
    </row>
    <row r="22" spans="1:19" s="13" customFormat="1" ht="27.75" customHeight="1" x14ac:dyDescent="0.25">
      <c r="A22" s="12">
        <f t="shared" si="3"/>
        <v>14</v>
      </c>
      <c r="B22" s="14" t="s">
        <v>61</v>
      </c>
      <c r="C22" s="8" t="s">
        <v>62</v>
      </c>
      <c r="D22" s="134">
        <f>+'2 Subsidio Abr-Jun'!D19</f>
        <v>174</v>
      </c>
      <c r="E22" s="134">
        <f>+'2 Subsidio Abr-Jun'!E19</f>
        <v>174</v>
      </c>
      <c r="F22" s="1">
        <f>+'2 Subsidio Abr-Jun'!F19</f>
        <v>39</v>
      </c>
      <c r="G22" s="1">
        <f>+'2 Subsidio Abr-Jun'!G19</f>
        <v>39</v>
      </c>
      <c r="H22" s="149">
        <f t="shared" si="0"/>
        <v>0</v>
      </c>
      <c r="I22" s="151">
        <f t="shared" si="4"/>
        <v>0</v>
      </c>
      <c r="J22" s="9">
        <f>+'2 Subsidio Abr-Jun'!J19</f>
        <v>380269</v>
      </c>
      <c r="K22" s="9">
        <f>+'2 Subsidio Abr-Jun'!K19</f>
        <v>0</v>
      </c>
      <c r="L22" s="9">
        <f>+'2 Subsidio Abr-Jun'!L19</f>
        <v>0</v>
      </c>
      <c r="M22" s="9">
        <f>+'2 Subsidio Abr-Jun'!M19</f>
        <v>380269</v>
      </c>
      <c r="N22" s="9">
        <f>+'2 Subsidio Abr-Jun'!N19</f>
        <v>263863.49</v>
      </c>
      <c r="O22" s="9">
        <f>+'2 Subsidio Abr-Jun'!O19</f>
        <v>-5897.2000000000007</v>
      </c>
      <c r="P22" s="56">
        <f t="shared" si="1"/>
        <v>269760.69</v>
      </c>
      <c r="Q22" s="152">
        <f t="shared" si="2"/>
        <v>1.0223494353083862</v>
      </c>
      <c r="R22" s="15" t="s">
        <v>16</v>
      </c>
    </row>
    <row r="23" spans="1:19" s="13" customFormat="1" ht="27.75" customHeight="1" x14ac:dyDescent="0.25">
      <c r="A23" s="12">
        <f t="shared" si="3"/>
        <v>15</v>
      </c>
      <c r="B23" s="14" t="s">
        <v>58</v>
      </c>
      <c r="C23" s="8" t="s">
        <v>120</v>
      </c>
      <c r="D23" s="134">
        <f>+'2 Subsidio Abr-Jun'!D20</f>
        <v>60</v>
      </c>
      <c r="E23" s="134">
        <f>+'2 Subsidio Abr-Jun'!E20</f>
        <v>60</v>
      </c>
      <c r="F23" s="1">
        <f>+'2 Subsidio Abr-Jun'!F20</f>
        <v>23</v>
      </c>
      <c r="G23" s="1">
        <f>+'2 Subsidio Abr-Jun'!G20</f>
        <v>35</v>
      </c>
      <c r="H23" s="149">
        <f t="shared" si="0"/>
        <v>12</v>
      </c>
      <c r="I23" s="151">
        <f t="shared" si="4"/>
        <v>0.52173913043478271</v>
      </c>
      <c r="J23" s="9">
        <f>+'2 Subsidio Abr-Jun'!J20</f>
        <v>102630</v>
      </c>
      <c r="K23" s="9">
        <f>+'2 Subsidio Abr-Jun'!K20</f>
        <v>0</v>
      </c>
      <c r="L23" s="9">
        <f>+'2 Subsidio Abr-Jun'!L20</f>
        <v>0</v>
      </c>
      <c r="M23" s="9">
        <f>+'2 Subsidio Abr-Jun'!M20</f>
        <v>102630</v>
      </c>
      <c r="N23" s="9">
        <f>+'2 Subsidio Abr-Jun'!N20</f>
        <v>6200</v>
      </c>
      <c r="O23" s="9">
        <f>+'2 Subsidio Abr-Jun'!O20</f>
        <v>2341216</v>
      </c>
      <c r="P23" s="56">
        <f t="shared" si="1"/>
        <v>-2335016</v>
      </c>
      <c r="Q23" s="152">
        <f t="shared" si="2"/>
        <v>-376.61548387096775</v>
      </c>
      <c r="R23" s="15" t="s">
        <v>17</v>
      </c>
    </row>
    <row r="24" spans="1:19" s="13" customFormat="1" ht="35.25" customHeight="1" x14ac:dyDescent="0.25">
      <c r="A24" s="12">
        <f t="shared" si="3"/>
        <v>16</v>
      </c>
      <c r="B24" s="2" t="s">
        <v>63</v>
      </c>
      <c r="C24" s="8" t="s">
        <v>126</v>
      </c>
      <c r="D24" s="134">
        <f>+'2 Subsidio Abr-Jun'!D21+'2 Propios Abr-Jun'!D14</f>
        <v>82</v>
      </c>
      <c r="E24" s="134">
        <f>+'2 Subsidio Abr-Jun'!E21+'2 Propios Abr-Jun'!E14</f>
        <v>83</v>
      </c>
      <c r="F24" s="1">
        <f>+'2 Subsidio Abr-Jun'!F21+'2 Propios Abr-Jun'!F14</f>
        <v>24</v>
      </c>
      <c r="G24" s="1">
        <f>+'2 Subsidio Abr-Jun'!G21+'2 Propios Abr-Jun'!G14</f>
        <v>24</v>
      </c>
      <c r="H24" s="149">
        <f t="shared" si="0"/>
        <v>0</v>
      </c>
      <c r="I24" s="151">
        <f t="shared" si="4"/>
        <v>0</v>
      </c>
      <c r="J24" s="9">
        <f>+'2 Subsidio Abr-Jun'!J21+'2 Propios Abr-Jun'!J14-1</f>
        <v>4998977</v>
      </c>
      <c r="K24" s="9">
        <f>+'2 Subsidio Abr-Jun'!K21+'2 Propios Abr-Jun'!K14</f>
        <v>2343165</v>
      </c>
      <c r="L24" s="9">
        <f>+'2 Subsidio Abr-Jun'!L21+'2 Propios Abr-Jun'!L14</f>
        <v>773335</v>
      </c>
      <c r="M24" s="9">
        <f>+'2 Subsidio Abr-Jun'!M21+'2 Propios Abr-Jun'!M14-1</f>
        <v>6568807</v>
      </c>
      <c r="N24" s="9">
        <f>+'2 Subsidio Abr-Jun'!N21+'2 Propios Abr-Jun'!N14</f>
        <v>1634955.08</v>
      </c>
      <c r="O24" s="9">
        <f>+'2 Subsidio Abr-Jun'!O21+'2 Propios Abr-Jun'!O14</f>
        <v>-626720</v>
      </c>
      <c r="P24" s="56">
        <f t="shared" si="1"/>
        <v>2261675.08</v>
      </c>
      <c r="Q24" s="152">
        <f t="shared" si="2"/>
        <v>1.3833255161970566</v>
      </c>
      <c r="R24" s="15" t="s">
        <v>18</v>
      </c>
    </row>
    <row r="25" spans="1:19" s="13" customFormat="1" ht="27.75" customHeight="1" x14ac:dyDescent="0.25">
      <c r="A25" s="12">
        <f t="shared" si="3"/>
        <v>17</v>
      </c>
      <c r="B25" s="2" t="s">
        <v>65</v>
      </c>
      <c r="C25" s="8" t="s">
        <v>66</v>
      </c>
      <c r="D25" s="134">
        <f>+'2 Subsidio Abr-Jun'!D22+'2 Propios Abr-Jun'!D15-1</f>
        <v>1</v>
      </c>
      <c r="E25" s="134">
        <f>+'2 Subsidio Abr-Jun'!E22+'2 Propios Abr-Jun'!E15-1</f>
        <v>1</v>
      </c>
      <c r="F25" s="75">
        <f>'2 Subsidio Abr-Jun'!F22</f>
        <v>0.25</v>
      </c>
      <c r="G25" s="75">
        <f>'2 Subsidio Abr-Jun'!G22</f>
        <v>0.25</v>
      </c>
      <c r="H25" s="149">
        <f t="shared" si="0"/>
        <v>0</v>
      </c>
      <c r="I25" s="151">
        <f t="shared" si="4"/>
        <v>0</v>
      </c>
      <c r="J25" s="9">
        <f>+'2 Subsidio Abr-Jun'!J22+'2 Propios Abr-Jun'!J15+1</f>
        <v>70443003</v>
      </c>
      <c r="K25" s="9">
        <f>+'2 Subsidio Abr-Jun'!K22+'2 Propios Abr-Jun'!K15</f>
        <v>32318</v>
      </c>
      <c r="L25" s="9">
        <f>+'2 Subsidio Abr-Jun'!L22+'2 Propios Abr-Jun'!L15</f>
        <v>2500000</v>
      </c>
      <c r="M25" s="9">
        <f>+'2 Subsidio Abr-Jun'!M22+'2 Propios Abr-Jun'!M15</f>
        <v>67975319</v>
      </c>
      <c r="N25" s="9">
        <f>+'2 Subsidio Abr-Jun'!N22+'2 Propios Abr-Jun'!N15</f>
        <v>17560975.029999997</v>
      </c>
      <c r="O25" s="9">
        <f>+'2 Subsidio Abr-Jun'!O22+'2 Propios Abr-Jun'!O15-1</f>
        <v>-12863287</v>
      </c>
      <c r="P25" s="56">
        <f t="shared" si="1"/>
        <v>30424262.029999997</v>
      </c>
      <c r="Q25" s="152">
        <f t="shared" si="2"/>
        <v>1.732492756126879</v>
      </c>
      <c r="R25" s="15" t="s">
        <v>19</v>
      </c>
    </row>
    <row r="26" spans="1:19" s="13" customFormat="1" ht="27.75" customHeight="1" x14ac:dyDescent="0.25">
      <c r="A26" s="12">
        <f t="shared" si="3"/>
        <v>18</v>
      </c>
      <c r="B26" s="14" t="s">
        <v>59</v>
      </c>
      <c r="C26" s="8" t="s">
        <v>60</v>
      </c>
      <c r="D26" s="134">
        <f>+'2 Subsidio Abr-Jun'!D23</f>
        <v>4</v>
      </c>
      <c r="E26" s="134">
        <f>+'2 Subsidio Abr-Jun'!E23</f>
        <v>4</v>
      </c>
      <c r="F26" s="1">
        <f>+'2 Subsidio Abr-Jun'!F23</f>
        <v>1</v>
      </c>
      <c r="G26" s="1">
        <f>+'2 Subsidio Abr-Jun'!G23</f>
        <v>1</v>
      </c>
      <c r="H26" s="149">
        <f t="shared" si="0"/>
        <v>0</v>
      </c>
      <c r="I26" s="151">
        <f t="shared" si="4"/>
        <v>0</v>
      </c>
      <c r="J26" s="9">
        <f>+'2 Subsidio Abr-Jun'!J23+'2 Propios Abr-Jun'!J16</f>
        <v>1602721</v>
      </c>
      <c r="K26" s="9">
        <f>+'2 Subsidio Abr-Jun'!K23+'2 Propios Abr-Jun'!K16</f>
        <v>0</v>
      </c>
      <c r="L26" s="9">
        <f>+'2 Subsidio Abr-Jun'!L23+'2 Propios Abr-Jun'!L16</f>
        <v>0</v>
      </c>
      <c r="M26" s="9">
        <f>+'2 Subsidio Abr-Jun'!M23+'2 Propios Abr-Jun'!M16</f>
        <v>1602721</v>
      </c>
      <c r="N26" s="9">
        <f>'2 Subsidio Abr-Jun'!N23+'2 Propios Abr-Jun'!N16</f>
        <v>401822.77</v>
      </c>
      <c r="O26" s="9" t="e">
        <f>'2 Subsidio Abr-Jun'!O23+'2 Propios Abr-Jun'!O16</f>
        <v>#REF!</v>
      </c>
      <c r="P26" s="56" t="e">
        <f t="shared" si="1"/>
        <v>#REF!</v>
      </c>
      <c r="Q26" s="152" t="e">
        <f t="shared" si="2"/>
        <v>#REF!</v>
      </c>
      <c r="R26" s="15" t="s">
        <v>20</v>
      </c>
    </row>
    <row r="27" spans="1:19" s="13" customFormat="1" ht="27.75" customHeight="1" x14ac:dyDescent="0.25">
      <c r="A27" s="12">
        <f t="shared" si="3"/>
        <v>19</v>
      </c>
      <c r="B27" s="14" t="s">
        <v>64</v>
      </c>
      <c r="C27" s="8" t="s">
        <v>127</v>
      </c>
      <c r="D27" s="134">
        <f>+'2 Subsidio Abr-Jun'!D24</f>
        <v>61</v>
      </c>
      <c r="E27" s="134">
        <f>+'2 Subsidio Abr-Jun'!E24</f>
        <v>61</v>
      </c>
      <c r="F27" s="1">
        <f>+'2 Subsidio Abr-Jun'!F24</f>
        <v>15</v>
      </c>
      <c r="G27" s="1">
        <f>+'2 Subsidio Abr-Jun'!G24</f>
        <v>15</v>
      </c>
      <c r="H27" s="149">
        <f t="shared" si="0"/>
        <v>0</v>
      </c>
      <c r="I27" s="151">
        <f t="shared" si="4"/>
        <v>0</v>
      </c>
      <c r="J27" s="9">
        <f>+'2 Subsidio Abr-Jun'!J24+'2 Propios Abr-Jun'!J17</f>
        <v>191904</v>
      </c>
      <c r="K27" s="9">
        <f>+'2 Subsidio Abr-Jun'!K23+'2 Propios Abr-Jun'!K16</f>
        <v>0</v>
      </c>
      <c r="L27" s="9">
        <f>+'2 Subsidio Abr-Jun'!L23+'2 Propios Abr-Jun'!L16</f>
        <v>0</v>
      </c>
      <c r="M27" s="9">
        <f>+'2 Subsidio Abr-Jun'!M24+'2 Propios Abr-Jun'!M17</f>
        <v>191904</v>
      </c>
      <c r="N27" s="9">
        <f>'2 Subsidio Abr-Jun'!N24+'2 Propios Abr-Jun'!N17</f>
        <v>33593.57</v>
      </c>
      <c r="O27" s="9" t="e">
        <f>'2 Subsidio Abr-Jun'!O24+'2 Propios Abr-Jun'!O17</f>
        <v>#REF!</v>
      </c>
      <c r="P27" s="56" t="e">
        <f t="shared" si="1"/>
        <v>#REF!</v>
      </c>
      <c r="Q27" s="152" t="e">
        <f t="shared" si="2"/>
        <v>#REF!</v>
      </c>
      <c r="R27" s="15" t="s">
        <v>21</v>
      </c>
    </row>
    <row r="28" spans="1:19" s="13" customFormat="1" ht="27.75" customHeight="1" x14ac:dyDescent="0.25">
      <c r="A28" s="12">
        <f t="shared" si="3"/>
        <v>20</v>
      </c>
      <c r="B28" s="36" t="s">
        <v>85</v>
      </c>
      <c r="C28" s="29" t="s">
        <v>130</v>
      </c>
      <c r="D28" s="134">
        <f>'2 Propios Abr-Jun'!D18</f>
        <v>0</v>
      </c>
      <c r="E28" s="134">
        <f>'2 Propios Abr-Jun'!E18</f>
        <v>3</v>
      </c>
      <c r="F28" s="1">
        <f>'2 Propios Abr-Jun'!F18</f>
        <v>0</v>
      </c>
      <c r="G28" s="1">
        <f>'2 Propios Abr-Jun'!G18</f>
        <v>0</v>
      </c>
      <c r="H28" s="149">
        <f t="shared" si="0"/>
        <v>0</v>
      </c>
      <c r="I28" s="151">
        <v>0</v>
      </c>
      <c r="J28" s="9">
        <f>'2 Propios Abr-Jun'!J18</f>
        <v>0</v>
      </c>
      <c r="K28" s="9">
        <f>'2 Propios Abr-Jun'!K18</f>
        <v>645987</v>
      </c>
      <c r="L28" s="9">
        <f>'2 Propios Abr-Jun'!L18</f>
        <v>0</v>
      </c>
      <c r="M28" s="9">
        <f>'2 Propios Abr-Jun'!M18</f>
        <v>645987</v>
      </c>
      <c r="N28" s="9">
        <f>'2 Propios Abr-Jun'!N18</f>
        <v>0</v>
      </c>
      <c r="O28" s="9" t="e">
        <f>'2 Propios Abr-Jun'!O18</f>
        <v>#REF!</v>
      </c>
      <c r="P28" s="56" t="e">
        <f t="shared" si="1"/>
        <v>#REF!</v>
      </c>
      <c r="Q28" s="152">
        <v>0</v>
      </c>
      <c r="R28" s="15" t="s">
        <v>135</v>
      </c>
    </row>
    <row r="29" spans="1:19" s="13" customFormat="1" ht="24.75" customHeight="1" x14ac:dyDescent="0.25">
      <c r="A29" s="16"/>
      <c r="B29" s="217" t="s">
        <v>1</v>
      </c>
      <c r="C29" s="218"/>
      <c r="D29" s="97">
        <f>SUM(D9:D28)</f>
        <v>13062</v>
      </c>
      <c r="E29" s="97">
        <f>SUM(E9:E28)</f>
        <v>13070</v>
      </c>
      <c r="F29" s="96">
        <f>SUM(F9:F28)</f>
        <v>6023</v>
      </c>
      <c r="G29" s="96">
        <f>SUM(G9:G28)</f>
        <v>5564</v>
      </c>
      <c r="H29" s="97">
        <f t="shared" si="0"/>
        <v>-459</v>
      </c>
      <c r="I29" s="148">
        <f t="shared" si="4"/>
        <v>-7.6207869832309427E-2</v>
      </c>
      <c r="J29" s="96">
        <f>SUM(J9:J28)-2</f>
        <v>83367929</v>
      </c>
      <c r="K29" s="96">
        <f>SUM(K9:K28)+1</f>
        <v>3348135</v>
      </c>
      <c r="L29" s="96">
        <f t="shared" ref="L29:N29" si="5">SUM(L9:L28)</f>
        <v>3348135</v>
      </c>
      <c r="M29" s="96">
        <f t="shared" si="5"/>
        <v>83367929</v>
      </c>
      <c r="N29" s="96">
        <f t="shared" si="5"/>
        <v>21956210.439999998</v>
      </c>
      <c r="O29" s="96" t="e">
        <f>SUM(O9:O28)+1</f>
        <v>#REF!</v>
      </c>
      <c r="P29" s="96" t="e">
        <f t="shared" si="1"/>
        <v>#REF!</v>
      </c>
      <c r="Q29" s="148" t="e">
        <f t="shared" si="2"/>
        <v>#REF!</v>
      </c>
    </row>
    <row r="30" spans="1:19" s="13" customFormat="1" ht="4.5" customHeight="1" x14ac:dyDescent="0.25">
      <c r="A30" s="17"/>
      <c r="B30" s="18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/>
      <c r="Q30" s="95"/>
    </row>
    <row r="31" spans="1:19" s="13" customFormat="1" ht="4.5" customHeight="1" x14ac:dyDescent="0.25">
      <c r="A31" s="17"/>
      <c r="B31" s="18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/>
      <c r="Q31" s="95"/>
    </row>
    <row r="32" spans="1:19" s="13" customFormat="1" ht="26.25" customHeight="1" x14ac:dyDescent="0.25">
      <c r="A32" s="108"/>
      <c r="B32" s="108"/>
      <c r="C32" s="108"/>
      <c r="D32" s="108"/>
      <c r="E32" s="108"/>
      <c r="F32" s="108"/>
      <c r="G32" s="108"/>
      <c r="H32" s="108"/>
      <c r="I32" s="108"/>
      <c r="J32" s="109"/>
      <c r="K32" s="109"/>
      <c r="L32" s="109"/>
      <c r="M32" s="109"/>
      <c r="N32" s="109"/>
      <c r="O32" s="109"/>
      <c r="P32" s="109"/>
      <c r="Q32" s="110"/>
      <c r="R32" s="77"/>
    </row>
    <row r="33" spans="10:18" s="107" customFormat="1" ht="15" x14ac:dyDescent="0.25">
      <c r="N33" s="150"/>
    </row>
    <row r="34" spans="10:18" s="107" customFormat="1" ht="15" x14ac:dyDescent="0.25"/>
    <row r="35" spans="10:18" s="107" customFormat="1" ht="15" x14ac:dyDescent="0.25"/>
    <row r="36" spans="10:18" s="107" customFormat="1" ht="15" x14ac:dyDescent="0.25"/>
    <row r="37" spans="10:18" s="107" customFormat="1" ht="15" x14ac:dyDescent="0.25"/>
    <row r="38" spans="10:18" s="107" customFormat="1" ht="15" x14ac:dyDescent="0.25"/>
    <row r="39" spans="10:18" s="107" customFormat="1" ht="15" x14ac:dyDescent="0.25"/>
    <row r="40" spans="10:18" s="107" customFormat="1" ht="15" x14ac:dyDescent="0.25"/>
    <row r="41" spans="10:18" s="107" customFormat="1" ht="15" x14ac:dyDescent="0.25"/>
    <row r="42" spans="10:18" x14ac:dyDescent="0.2">
      <c r="J42" s="114"/>
    </row>
    <row r="43" spans="10:18" ht="15" x14ac:dyDescent="0.25">
      <c r="R43" s="159">
        <v>4</v>
      </c>
    </row>
  </sheetData>
  <mergeCells count="20">
    <mergeCell ref="A2:R2"/>
    <mergeCell ref="A3:R3"/>
    <mergeCell ref="A4:R4"/>
    <mergeCell ref="A6:A8"/>
    <mergeCell ref="B6:B8"/>
    <mergeCell ref="C6:C8"/>
    <mergeCell ref="J6:Q6"/>
    <mergeCell ref="R6:R8"/>
    <mergeCell ref="M7:M8"/>
    <mergeCell ref="N7:N8"/>
    <mergeCell ref="O7:O8"/>
    <mergeCell ref="P7:Q7"/>
    <mergeCell ref="D7:E7"/>
    <mergeCell ref="D6:I6"/>
    <mergeCell ref="B29:C29"/>
    <mergeCell ref="F7:F8"/>
    <mergeCell ref="G7:G8"/>
    <mergeCell ref="H7:I7"/>
    <mergeCell ref="K7:L7"/>
    <mergeCell ref="J7:J8"/>
  </mergeCells>
  <printOptions horizontalCentered="1"/>
  <pageMargins left="0" right="0" top="0.78740157480314965" bottom="0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1 Subsidio+Propios Ene-Mar</vt:lpstr>
      <vt:lpstr>1 Subsidio Ene-Mar</vt:lpstr>
      <vt:lpstr>Tula Subsidio</vt:lpstr>
      <vt:lpstr>UACh Subsidio</vt:lpstr>
      <vt:lpstr>1 Propios Ene-Mar</vt:lpstr>
      <vt:lpstr>Consolidado Sub+IP</vt:lpstr>
      <vt:lpstr>Subsidio Ene-Mar</vt:lpstr>
      <vt:lpstr>Ingresos Propios Ene-Mar</vt:lpstr>
      <vt:lpstr>2 Subsidio+Propios Abr-Jun</vt:lpstr>
      <vt:lpstr>2 Subsidio Abr-Jun</vt:lpstr>
      <vt:lpstr>2 Propios Abr-Jun</vt:lpstr>
      <vt:lpstr>Tula IngrPropios</vt:lpstr>
      <vt:lpstr>UACh IngrPropios</vt:lpstr>
      <vt:lpstr>'1 Subsidio Ene-Mar'!Área_de_impresión</vt:lpstr>
      <vt:lpstr>'2 Subsidio Abr-Jun'!Área_de_impresión</vt:lpstr>
      <vt:lpstr>'Subsidio Ene-Mar'!Área_de_impresión</vt:lpstr>
      <vt:lpstr>'Tula Subsidio'!Área_de_impresión</vt:lpstr>
      <vt:lpstr>'UACh Subsidio'!Área_de_impresión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Aguayo Hdz</dc:creator>
  <cp:lastModifiedBy>optiplex</cp:lastModifiedBy>
  <cp:lastPrinted>2016-07-13T18:31:08Z</cp:lastPrinted>
  <dcterms:created xsi:type="dcterms:W3CDTF">2010-02-16T17:12:41Z</dcterms:created>
  <dcterms:modified xsi:type="dcterms:W3CDTF">2016-07-14T18:00:40Z</dcterms:modified>
</cp:coreProperties>
</file>